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Kiga 2009" sheetId="1" r:id="rId1"/>
    <sheet name="Eingruppierung" sheetId="2" r:id="rId2"/>
    <sheet name="Stufenzuordnung" sheetId="3" r:id="rId3"/>
    <sheet name="Ergebnis" sheetId="4" r:id="rId4"/>
    <sheet name="Entgelt_Tabelle" sheetId="5" r:id="rId5"/>
    <sheet name="Tabelle_Stufenz" sheetId="6" r:id="rId6"/>
    <sheet name="Makros" sheetId="7" r:id="rId7"/>
  </sheets>
  <definedNames>
    <definedName name="\B">'Makros'!$C$4:$C$6</definedName>
    <definedName name="BESCH-ZEIT">'Stufenzuordnung'!$N$12:$O$31</definedName>
    <definedName name="DATUM">'Makros'!$C$1</definedName>
    <definedName name="_xlnm.Print_Area" localSheetId="0">'Kiga 2009'!$A$1:$L$111</definedName>
    <definedName name="_xlnm.Print_Area">'Kiga 2009'!$A$1:$L$111</definedName>
    <definedName name="KIGA">'Kiga 2009'!$A$1:$L$111</definedName>
    <definedName name="TVÖD">'Entgelt_Tabelle'!$A$5:$G$21</definedName>
    <definedName name="TVÖD_SUE">'Entgelt_Tabelle'!$A$28:$G$46</definedName>
    <definedName name="VERGLEICH">'Kiga 2009'!$A$1:$L$109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<sst xmlns="http://schemas.openxmlformats.org/spreadsheetml/2006/main" count="387" uniqueCount="246">
  <si>
    <t>auf den 01. November 2009</t>
  </si>
  <si>
    <t>Ermittlung des Vergleichsentgelts für die Erzieherinnen</t>
  </si>
  <si>
    <t>Frau</t>
  </si>
  <si>
    <t>1. Einstellung bei der Gemeinde Freiamt</t>
  </si>
  <si>
    <t>2. fiktive Beschäftigungszeit lt. TVöD-Umstellung</t>
  </si>
  <si>
    <t>3. Ermittlung der neuen Entgeltgruppe ( neuer § 28a TVöD )</t>
  </si>
  <si>
    <t>4. Bildung des Vergleichsentgelts ( neuer § 28a Abs. 3 )</t>
  </si>
  <si>
    <t>Hinweis:  event. bezahlter</t>
  </si>
  <si>
    <t>5. Ermittlung der Stufe in der neuen Entgeltgruppe lt. Stufen-Zuordnungstabelle</t>
  </si>
  <si>
    <t>5. Gewährung von individullen Zwischen- / Endstufen</t>
  </si>
  <si>
    <t>oder</t>
  </si>
  <si>
    <t>6.  Besitzstandswahrung</t>
  </si>
  <si>
    <t>Hauber</t>
  </si>
  <si>
    <t>folgende Eingaben zu tätigen:</t>
  </si>
  <si>
    <t>Entgeltgruppe</t>
  </si>
  <si>
    <t>Zulagen</t>
  </si>
  <si>
    <t>Hinweis:</t>
  </si>
  <si>
    <t>damit ergibt sich bis zum 01.11.2009</t>
  </si>
  <si>
    <t>eine fiktiver Beschäftigungszeit von</t>
  </si>
  <si>
    <t>derzeitiges Entgelt</t>
  </si>
  <si>
    <t>Beschäftigungsmaß</t>
  </si>
  <si>
    <t xml:space="preserve"> - Tabellenentgelt</t>
  </si>
  <si>
    <t xml:space="preserve"> - Vergütungsgruppenzulage</t>
  </si>
  <si>
    <t xml:space="preserve"> - Zuschlag 2,65 % in den Stufen 2 - 5</t>
  </si>
  <si>
    <t xml:space="preserve">   und Einstellung vor dem 01.10.2005</t>
  </si>
  <si>
    <t xml:space="preserve"> - individuelle Endstufe ( III. Nr. 4 TVÜ)</t>
  </si>
  <si>
    <t>wird nicht in das Vergleichsentgelt einbezogen !</t>
  </si>
  <si>
    <t>Auf der Basis ihrer Einstellung bzw. der fiktiven Beschäftigungszeit wird</t>
  </si>
  <si>
    <t>maßgebenden Stufe ihrer Entgeltgruppe zugeordnet:</t>
  </si>
  <si>
    <t>maßgebende Beschäftigungszeit</t>
  </si>
  <si>
    <t>==&gt;&gt; Stufe lt. Zuordnungstabelle</t>
  </si>
  <si>
    <t xml:space="preserve">     nach dem neuen Tarifvertrag (Tarifentgelt-SuE). </t>
  </si>
  <si>
    <t xml:space="preserve"> ==&gt;&gt; individuelle Zwischenstufe ( =&gt;  bis zur Aufzehrung durch Entgelterhöhungen)</t>
  </si>
  <si>
    <t xml:space="preserve"> ==&gt;&gt; individuelle Endstufe ( =&gt;  auf Dauer)</t>
  </si>
  <si>
    <t>das Vergleichsentgelt beträgt:</t>
  </si>
  <si>
    <t>das anzurechnende Tarifentgelt beträgt</t>
  </si>
  <si>
    <t>Erhält die Beschäftigte aus der Überleitung zum TVöD einen Strukturausgleich</t>
  </si>
  <si>
    <t>steht ihr dieser auch weiterhin zu ( neuer § 28a Abs. 11 TVöD )</t>
  </si>
  <si>
    <t>Feld 0008</t>
  </si>
  <si>
    <t>Feld 0060 ff</t>
  </si>
  <si>
    <t>Name</t>
  </si>
  <si>
    <t>Diese individuelle Endstufe beruht auf der füheren Einstufung als Leiterin für</t>
  </si>
  <si>
    <t>einen Kindergarten mit mehr als 70 Kindern. Nach der Protokollerklärung Nr. 9 des</t>
  </si>
  <si>
    <t xml:space="preserve">gebend; somit 2008. Im Jahre 2010 ist das Kalenderjahr 2009 maßgebend; damit ist </t>
  </si>
  <si>
    <t>mit Ablauf des Kiga-Jahres 2009/2010 die Einstufung auf der Basis der Leitung eines</t>
  </si>
  <si>
    <t>Kindergarten mit mehr als 40 Kindern maßgebend; somit Entgeltgruppe S 9.</t>
  </si>
  <si>
    <t>Diese individuelle Endstufe beruht auf der füheren Einstufung als stellv. Leiterin für</t>
  </si>
  <si>
    <t>mit Ablauf des Kiga-Jahres 2009/2010 die Einstufung auf der Basis der stellv. Leitung</t>
  </si>
  <si>
    <t>eines Kindergarten mit mehr als 40 Kindern maßgebend; somit Entgeltgruppe S 7.</t>
  </si>
  <si>
    <t xml:space="preserve"> -- Sozialzuschlag</t>
  </si>
  <si>
    <t xml:space="preserve"> -- Strukturausgleich</t>
  </si>
  <si>
    <t xml:space="preserve"> -- vermög.wirks. Leistung</t>
  </si>
  <si>
    <t>Vorname</t>
  </si>
  <si>
    <t>Gruppe</t>
  </si>
  <si>
    <t>Differenz</t>
  </si>
  <si>
    <t>Stufe</t>
  </si>
  <si>
    <t>Wochenstunden</t>
  </si>
  <si>
    <t xml:space="preserve"> Jahren</t>
  </si>
  <si>
    <t xml:space="preserve"> </t>
  </si>
  <si>
    <t>ungekürzt</t>
  </si>
  <si>
    <t>abzgl. fiktiv. Zuschlag</t>
  </si>
  <si>
    <t>Jahre</t>
  </si>
  <si>
    <t>Beßler</t>
  </si>
  <si>
    <t>Ende ==&gt;&gt;</t>
  </si>
  <si>
    <t>lt. Eingruppierungsregelung</t>
  </si>
  <si>
    <t>Überleitung nach ...</t>
  </si>
  <si>
    <t>Entgeltgruppe  S</t>
  </si>
  <si>
    <t>ggf. Kürzung</t>
  </si>
  <si>
    <t>wg. Teilzeit</t>
  </si>
  <si>
    <t>nachrichtlich</t>
  </si>
  <si>
    <t>gekürzt</t>
  </si>
  <si>
    <t>Eingabe</t>
  </si>
  <si>
    <t>für Vergleichsentgelt</t>
  </si>
  <si>
    <t xml:space="preserve"> alle Eingaben </t>
  </si>
  <si>
    <t xml:space="preserve"> bei "gekürzt" !!!!</t>
  </si>
  <si>
    <t xml:space="preserve"> &lt;&lt;&lt; Eingabe ????</t>
  </si>
  <si>
    <t xml:space="preserve"> &lt;&lt;&lt;&lt; keine Eingabe !!</t>
  </si>
  <si>
    <t xml:space="preserve"> &lt;&lt;&lt; Eingabe, tatsächliche Werte ????</t>
  </si>
  <si>
    <t xml:space="preserve"> &lt;&lt;&lt;== Strukturausgleich ????</t>
  </si>
  <si>
    <t xml:space="preserve">   ==&gt;&gt;</t>
  </si>
  <si>
    <t xml:space="preserve">   &lt;&lt;==</t>
  </si>
  <si>
    <t xml:space="preserve">   &lt;&lt;== Formel</t>
  </si>
  <si>
    <t xml:space="preserve">   &lt;&lt;== Formel ==&gt;&gt;</t>
  </si>
  <si>
    <t>Im Betrag des Vergleichsentgelts ist eine pauschale Entgelterhöhung von 2,65 % enthalten !</t>
  </si>
  <si>
    <t>( neuer § 28 a,  Abs . 3; Satz 7 TVöD)</t>
  </si>
  <si>
    <t>Formeln</t>
  </si>
  <si>
    <t>maßgebende Wochenarbeitszeit</t>
  </si>
  <si>
    <t>Grenzdatum</t>
  </si>
  <si>
    <t>2,65 % ==&gt;&gt;</t>
  </si>
  <si>
    <t>Entgeltgruppe ==&gt;&gt;</t>
  </si>
  <si>
    <t>Entgeltgruppenstufe ==&gt;&gt;</t>
  </si>
  <si>
    <t>Stunden</t>
  </si>
  <si>
    <t>als Zahl</t>
  </si>
  <si>
    <t>Kindergärten der Gemeinde</t>
  </si>
  <si>
    <t>Eingruppierung der Beschäftigten</t>
  </si>
  <si>
    <t>TV Sozial- und Erziehungsdienst vom 27.06.2009</t>
  </si>
  <si>
    <t>II. Entgelt und Eingruppierung der Beschäftigten im Sozial- und Erziehungsdienst</t>
  </si>
  <si>
    <t>Nr. 4</t>
  </si>
  <si>
    <t>Die Eingruppierung der Beschäftigten bestimmt sich .... nach den Tätigkeitsmerkmallen</t>
  </si>
  <si>
    <t>des Anhangs der Anlage C zum TVöD (Anlage 1)</t>
  </si>
  <si>
    <t xml:space="preserve"> - Auszug aus den Eingruppierungsregelungen,</t>
  </si>
  <si>
    <t xml:space="preserve"> - für die Kindergärten der Gemeinde maßgebende Regelungen -</t>
  </si>
  <si>
    <t>S 6</t>
  </si>
  <si>
    <t>PWES</t>
  </si>
  <si>
    <t>S 7</t>
  </si>
  <si>
    <t>S 8</t>
  </si>
  <si>
    <t>S 9</t>
  </si>
  <si>
    <t>S 10</t>
  </si>
  <si>
    <t>5600</t>
  </si>
  <si>
    <t>S 13</t>
  </si>
  <si>
    <t>5630</t>
  </si>
  <si>
    <t>Freiamt, den  14.10.2009</t>
  </si>
  <si>
    <t>- Erzieherinnen mit staatlicher Anerkennung und entsprechender Tätigkeit</t>
  </si>
  <si>
    <t xml:space="preserve"> - sonstige Beschäftigte, die .... entsprechende Tätigkeiten ausüben</t>
  </si>
  <si>
    <t>Zuordnung</t>
  </si>
  <si>
    <t>1. Beschäftigte als Leiterinnen von Kindertagesstätten</t>
  </si>
  <si>
    <t>2.  Beschäftigte, die .... als ständige Vertreterinnen von Leiterinnen vin Kindertagsstätten mit einer</t>
  </si>
  <si>
    <t xml:space="preserve">     Durchschnittsbelegung von mindestens 40 Plätzen bestellt sind</t>
  </si>
  <si>
    <t>1. Erzieherinnen mit staatlicher Anerkennung und entsprechender Tätigkeit, mit besonders</t>
  </si>
  <si>
    <t xml:space="preserve">    schwierigen fachlichen Tätigkeiten</t>
  </si>
  <si>
    <t xml:space="preserve">1. Erzieherinnen mit staatlicher Anerkennung und entsprechender Tätigkeit, mit fachlich </t>
  </si>
  <si>
    <t xml:space="preserve">    koordinierenden Aufgaben für mindestens drei Beschäftigte der Entgeltgruppe S 8 Fallgruppe 1</t>
  </si>
  <si>
    <t>1. Beschäftigte als Leiterinnen von Kindertagesstätten mit einer Durchschnittbelegung von</t>
  </si>
  <si>
    <t xml:space="preserve">    von mindestens 40 Plätzen</t>
  </si>
  <si>
    <t>2.  Beschäftigte, die .... als ständige Vertreterinnen von Leiterinnen von Kindertagsstätten mit einer</t>
  </si>
  <si>
    <t xml:space="preserve">     Durchschnittsbelegung von mindestens 70 Plätzen bestellt sind</t>
  </si>
  <si>
    <t xml:space="preserve">    von mindestens 70 Plätzen</t>
  </si>
  <si>
    <t>Nr. 1</t>
  </si>
  <si>
    <t>Nr. 2</t>
  </si>
  <si>
    <t>niemand</t>
  </si>
  <si>
    <t>Kiga Keppenbach</t>
  </si>
  <si>
    <t>Kiga Ottoschwanden</t>
  </si>
  <si>
    <t>III. Überleitung in die Entgelttabelle S</t>
  </si>
  <si>
    <t>Stufenzuordnung</t>
  </si>
  <si>
    <t>Der Beschäftigte wird mit seinem Vergleichsentgelt in der neuen Entgeltgruppe der Stufe zugeordnet,</t>
  </si>
  <si>
    <t>die sich ergeben hätte, wenn die S-Entgeltgruppen von Anfang an Anwendung gefunden hätten.</t>
  </si>
  <si>
    <t>Die Zuordnung erfolgt auf der Basis der Stufenzuordnungstabelle; Anlage 2 zur Anlage C des TVöD</t>
  </si>
  <si>
    <t xml:space="preserve">Stufenlaufzeiten </t>
  </si>
  <si>
    <t>Überleitung der vorhanden Beschäftigten</t>
  </si>
  <si>
    <t>fiktive Beschäftigungs-</t>
  </si>
  <si>
    <t>zeit lt. TVöD-Umstellung</t>
  </si>
  <si>
    <t>01.10.2008</t>
  </si>
  <si>
    <t>01.10.2007</t>
  </si>
  <si>
    <t>01.10.2006</t>
  </si>
  <si>
    <t>01.10.2005</t>
  </si>
  <si>
    <t>01.10.2004</t>
  </si>
  <si>
    <t>01.10.2003</t>
  </si>
  <si>
    <t>01.10.2002</t>
  </si>
  <si>
    <t>01.10.2001</t>
  </si>
  <si>
    <t>01.10.2000</t>
  </si>
  <si>
    <t>01.10.1999</t>
  </si>
  <si>
    <t>01.10.1998</t>
  </si>
  <si>
    <t>01.10.1997</t>
  </si>
  <si>
    <t>01.10.1996</t>
  </si>
  <si>
    <t>01.10.1995</t>
  </si>
  <si>
    <t>01.10.1994</t>
  </si>
  <si>
    <t>01.10.1993</t>
  </si>
  <si>
    <t>01.10.1992</t>
  </si>
  <si>
    <t>01.10.1991</t>
  </si>
  <si>
    <t>01.10.1990</t>
  </si>
  <si>
    <t>bzw. ab Einstellung</t>
  </si>
  <si>
    <t>Dauer (Jahre)</t>
  </si>
  <si>
    <t>lt. TV SuE,  Anlage C Nr. 3</t>
  </si>
  <si>
    <t>Stufe 1</t>
  </si>
  <si>
    <t>Stufe 2</t>
  </si>
  <si>
    <t>Stufe 3</t>
  </si>
  <si>
    <t>Stufe 4</t>
  </si>
  <si>
    <t>Stufe 5</t>
  </si>
  <si>
    <t>alle Entgeltgruppen</t>
  </si>
  <si>
    <t>ohne S 8</t>
  </si>
  <si>
    <t>TVöD - V</t>
  </si>
  <si>
    <t>derzeitige</t>
  </si>
  <si>
    <t>Entgelt-</t>
  </si>
  <si>
    <t>stufe</t>
  </si>
  <si>
    <t>Jahr</t>
  </si>
  <si>
    <t>in der</t>
  </si>
  <si>
    <t>Stufensteigerung</t>
  </si>
  <si>
    <t>nach ... Jahren</t>
  </si>
  <si>
    <t>nur S 8</t>
  </si>
  <si>
    <t>TVöD - SuE, ohne S 8</t>
  </si>
  <si>
    <t>neue</t>
  </si>
  <si>
    <t>Verweistabelle</t>
  </si>
  <si>
    <t>Beschäftigunszeit ==&gt;&gt;</t>
  </si>
  <si>
    <t>Stufe ==&gt;&gt;</t>
  </si>
  <si>
    <t>ergibt neue Stufe ===&gt;&gt;</t>
  </si>
  <si>
    <t>Beschätigungs-</t>
  </si>
  <si>
    <t>zeit</t>
  </si>
  <si>
    <t>neue Stufe</t>
  </si>
  <si>
    <t>Keppenbach</t>
  </si>
  <si>
    <t>Ottoschwanden</t>
  </si>
  <si>
    <t>Summen</t>
  </si>
  <si>
    <t>derzeitiges</t>
  </si>
  <si>
    <t>Entgelt</t>
  </si>
  <si>
    <t>keine Veränderung, Besitzstandwahrung</t>
  </si>
  <si>
    <t>neu</t>
  </si>
  <si>
    <t xml:space="preserve"> €/Monat</t>
  </si>
  <si>
    <t xml:space="preserve"> €/Jahr</t>
  </si>
  <si>
    <t>gruppe</t>
  </si>
  <si>
    <t>S -</t>
  </si>
  <si>
    <t>TVöD - SuED</t>
  </si>
  <si>
    <t>ergibt Vergütung ===&gt;&gt;</t>
  </si>
  <si>
    <t>Entgelttabelle; Tarifgebiet West</t>
  </si>
  <si>
    <t>TVöD-V</t>
  </si>
  <si>
    <t>§ 16 III</t>
  </si>
  <si>
    <t>SuED</t>
  </si>
  <si>
    <t>Normalfall</t>
  </si>
  <si>
    <t xml:space="preserve"> S 8</t>
  </si>
  <si>
    <t>Stufenlaufzeit</t>
  </si>
  <si>
    <t>nach ....Jahren</t>
  </si>
  <si>
    <t>in Stufe</t>
  </si>
  <si>
    <t>Datum ==&gt;&gt;</t>
  </si>
  <si>
    <t>strg + b ==&gt;&gt;</t>
  </si>
  <si>
    <t>auf volle 10 - er runden</t>
  </si>
  <si>
    <t>{menü}asb{?}~</t>
  </si>
  <si>
    <t>{rechts}</t>
  </si>
  <si>
    <t>{sprung \b}</t>
  </si>
  <si>
    <t>Eingabe ==&gt;&gt;</t>
  </si>
  <si>
    <t>Ergebnis ==&gt;&gt;</t>
  </si>
  <si>
    <t>{menü}ass</t>
  </si>
  <si>
    <t>Musterfrau</t>
  </si>
  <si>
    <t>Monika</t>
  </si>
  <si>
    <t>xxxxxx</t>
  </si>
  <si>
    <t>TVöD-SuED ist die Durchschnittsbelegung des vorangegangen Kalenderjahres maß-</t>
  </si>
  <si>
    <t>aaaaaaaaaaaa</t>
  </si>
  <si>
    <t>Überleitung zum TVöD - SuED</t>
  </si>
  <si>
    <t>yyyy</t>
  </si>
  <si>
    <t>ssssss</t>
  </si>
  <si>
    <t>aaaaaa</t>
  </si>
  <si>
    <t>wwwww</t>
  </si>
  <si>
    <t>tttttttt</t>
  </si>
  <si>
    <t>uuuuuuuu</t>
  </si>
  <si>
    <t>aaaa</t>
  </si>
  <si>
    <t>rrrrr</t>
  </si>
  <si>
    <t>zzzzz</t>
  </si>
  <si>
    <t>iiiiiii</t>
  </si>
  <si>
    <t>ooooooo</t>
  </si>
  <si>
    <t>wwwwww</t>
  </si>
  <si>
    <t>bbbbb</t>
  </si>
  <si>
    <t>ffffff</t>
  </si>
  <si>
    <t>oooooo</t>
  </si>
  <si>
    <t>ööööööö</t>
  </si>
  <si>
    <t>sssssss</t>
  </si>
  <si>
    <t>ddddddd</t>
  </si>
  <si>
    <t>hhhhhhhh</t>
  </si>
  <si>
    <t>&lt;&lt;==  Stufe 6 ist unlogisch, aber nach derzeitigem Stand korrekt !!!!</t>
  </si>
  <si>
    <t>Achtung:  ab den folgenden Zellen nur mit Bedacht Änderungen vornehmen !!!!!!!!!!!!!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</si>
</sst>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  <numFmt numFmtId="165" formatCode="#,##0.00[$€-1]"/>
    <numFmt numFmtId="166" formatCode="[$-407]dddd\,\ d\.\ mmmm\ yyyy"/>
    <numFmt numFmtId="167" formatCode="#,##0.00\ [$€-407]"/>
    <numFmt numFmtId="168" formatCode="#,##0.00\ &quot;€&quot;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Continuous"/>
    </xf>
    <xf numFmtId="0" fontId="10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/>
    </xf>
    <xf numFmtId="14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 horizontal="right"/>
    </xf>
    <xf numFmtId="14" fontId="1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11" fillId="33" borderId="14" xfId="0" applyNumberFormat="1" applyFont="1" applyFill="1" applyBorder="1" applyAlignment="1">
      <alignment/>
    </xf>
    <xf numFmtId="0" fontId="11" fillId="33" borderId="14" xfId="0" applyNumberFormat="1" applyFont="1" applyFill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/>
    </xf>
    <xf numFmtId="0" fontId="8" fillId="0" borderId="0" xfId="0" applyNumberFormat="1" applyFont="1" applyAlignment="1">
      <alignment horizontal="right"/>
    </xf>
    <xf numFmtId="164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4" fontId="11" fillId="0" borderId="0" xfId="0" applyNumberFormat="1" applyFont="1" applyAlignment="1">
      <alignment horizontal="center"/>
    </xf>
    <xf numFmtId="0" fontId="11" fillId="34" borderId="0" xfId="0" applyNumberFormat="1" applyFont="1" applyFill="1" applyAlignment="1">
      <alignment horizontal="center"/>
    </xf>
    <xf numFmtId="4" fontId="11" fillId="34" borderId="11" xfId="0" applyNumberFormat="1" applyFont="1" applyFill="1" applyBorder="1" applyAlignment="1">
      <alignment horizontal="center"/>
    </xf>
    <xf numFmtId="4" fontId="11" fillId="34" borderId="0" xfId="0" applyNumberFormat="1" applyFont="1" applyFill="1" applyAlignment="1">
      <alignment horizontal="center"/>
    </xf>
    <xf numFmtId="0" fontId="9" fillId="35" borderId="0" xfId="0" applyNumberFormat="1" applyFont="1" applyFill="1" applyAlignment="1">
      <alignment horizontal="center"/>
    </xf>
    <xf numFmtId="4" fontId="9" fillId="35" borderId="11" xfId="0" applyNumberFormat="1" applyFont="1" applyFill="1" applyBorder="1" applyAlignment="1">
      <alignment horizontal="center"/>
    </xf>
    <xf numFmtId="4" fontId="9" fillId="35" borderId="0" xfId="0" applyNumberFormat="1" applyFont="1" applyFill="1" applyAlignment="1">
      <alignment horizontal="center"/>
    </xf>
    <xf numFmtId="0" fontId="11" fillId="0" borderId="11" xfId="0" applyNumberFormat="1" applyFont="1" applyBorder="1" applyAlignment="1">
      <alignment/>
    </xf>
    <xf numFmtId="0" fontId="11" fillId="0" borderId="15" xfId="0" applyNumberFormat="1" applyFont="1" applyBorder="1" applyAlignment="1">
      <alignment horizontal="center"/>
    </xf>
    <xf numFmtId="0" fontId="11" fillId="34" borderId="0" xfId="0" applyNumberFormat="1" applyFont="1" applyFill="1" applyAlignment="1">
      <alignment/>
    </xf>
    <xf numFmtId="0" fontId="11" fillId="35" borderId="0" xfId="0" applyNumberFormat="1" applyFont="1" applyFill="1" applyAlignment="1">
      <alignment/>
    </xf>
    <xf numFmtId="0" fontId="11" fillId="0" borderId="15" xfId="0" applyNumberFormat="1" applyFont="1" applyBorder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4" fillId="0" borderId="0" xfId="0" applyNumberFormat="1" applyFont="1" applyAlignment="1">
      <alignment horizontal="centerContinuous"/>
    </xf>
    <xf numFmtId="164" fontId="11" fillId="0" borderId="0" xfId="0" applyNumberFormat="1" applyFont="1" applyAlignment="1">
      <alignment/>
    </xf>
    <xf numFmtId="0" fontId="11" fillId="0" borderId="16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1" fillId="0" borderId="17" xfId="0" applyNumberFormat="1" applyFont="1" applyBorder="1" applyAlignment="1">
      <alignment/>
    </xf>
    <xf numFmtId="0" fontId="11" fillId="0" borderId="16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centerContinuous"/>
    </xf>
    <xf numFmtId="167" fontId="11" fillId="0" borderId="1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8" fillId="0" borderId="0" xfId="0" applyNumberFormat="1" applyFont="1" applyFill="1" applyAlignment="1">
      <alignment/>
    </xf>
    <xf numFmtId="167" fontId="9" fillId="0" borderId="0" xfId="0" applyNumberFormat="1" applyFont="1" applyAlignment="1">
      <alignment/>
    </xf>
    <xf numFmtId="167" fontId="14" fillId="0" borderId="10" xfId="0" applyNumberFormat="1" applyFont="1" applyBorder="1" applyAlignment="1">
      <alignment/>
    </xf>
    <xf numFmtId="168" fontId="14" fillId="0" borderId="0" xfId="0" applyNumberFormat="1" applyFont="1" applyAlignment="1">
      <alignment/>
    </xf>
    <xf numFmtId="168" fontId="11" fillId="0" borderId="0" xfId="0" applyNumberFormat="1" applyFont="1" applyAlignment="1">
      <alignment/>
    </xf>
    <xf numFmtId="168" fontId="11" fillId="0" borderId="10" xfId="0" applyNumberFormat="1" applyFont="1" applyBorder="1" applyAlignment="1">
      <alignment/>
    </xf>
    <xf numFmtId="168" fontId="11" fillId="0" borderId="0" xfId="0" applyNumberFormat="1" applyFont="1" applyAlignment="1">
      <alignment/>
    </xf>
  </cellXfs>
  <cellStyles count="4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Eingabe" xfId="41"/>
    <cellStyle name="Ergebnis" xfId="42"/>
    <cellStyle name="Erklärender Text" xfId="43"/>
    <cellStyle name="Gut" xfId="44"/>
    <cellStyle name="Neutral" xfId="45"/>
    <cellStyle name="Notiz" xfId="46"/>
    <cellStyle name="Schlecht" xfId="47"/>
    <cellStyle name="Überschrift" xfId="48"/>
    <cellStyle name="Überschrift 1" xfId="49"/>
    <cellStyle name="Überschrift 2" xfId="50"/>
    <cellStyle name="Überschrift 3" xfId="51"/>
    <cellStyle name="Überschrift 4" xfId="52"/>
    <cellStyle name="Verknüpfte Zelle" xfId="53"/>
    <cellStyle name="Warnender Text" xfId="54"/>
    <cellStyle name="Zelle überprüfe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9"/>
  <sheetViews>
    <sheetView showGridLines="0" showZeros="0" tabSelected="1" zoomScalePageLayoutView="0" workbookViewId="0" topLeftCell="A82">
      <selection activeCell="A1" sqref="A1"/>
    </sheetView>
  </sheetViews>
  <sheetFormatPr defaultColWidth="9.6640625" defaultRowHeight="15"/>
  <cols>
    <col min="1" max="1" width="4.6640625" style="1" customWidth="1"/>
    <col min="2" max="2" width="6.6640625" style="1" customWidth="1"/>
    <col min="3" max="3" width="8.6640625" style="1" customWidth="1"/>
    <col min="4" max="4" width="4.6640625" style="1" customWidth="1"/>
    <col min="5" max="5" width="1.66796875" style="1" customWidth="1"/>
    <col min="6" max="6" width="9.6640625" style="1" customWidth="1"/>
    <col min="7" max="7" width="4.6640625" style="1" customWidth="1"/>
    <col min="8" max="8" width="3.6640625" style="1" customWidth="1"/>
    <col min="9" max="9" width="11.6640625" style="1" customWidth="1"/>
    <col min="10" max="10" width="4.6640625" style="1" customWidth="1"/>
    <col min="11" max="11" width="10.6640625" style="1" customWidth="1"/>
    <col min="12" max="12" width="4.3359375" style="1" customWidth="1"/>
    <col min="13" max="13" width="8.6640625" style="1" customWidth="1"/>
    <col min="14" max="14" width="9.6640625" style="1" customWidth="1"/>
    <col min="15" max="15" width="9.88671875" style="1" bestFit="1" customWidth="1"/>
    <col min="16" max="16384" width="9.6640625" style="1" customWidth="1"/>
  </cols>
  <sheetData>
    <row r="1" spans="1:15" ht="18">
      <c r="A1" s="17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O1" s="1" t="s">
        <v>86</v>
      </c>
    </row>
    <row r="2" spans="1:16" ht="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4">
        <v>39</v>
      </c>
      <c r="P2" s="5" t="s">
        <v>91</v>
      </c>
    </row>
    <row r="3" spans="1:15" ht="20.25">
      <c r="A3" s="7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O3" s="6"/>
    </row>
    <row r="4" spans="1:13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3.5" customHeight="1">
      <c r="A5" s="3"/>
      <c r="D5" s="4"/>
      <c r="E5" s="4"/>
      <c r="F5" s="4"/>
      <c r="G5" s="4"/>
      <c r="H5" s="4"/>
      <c r="I5" s="8"/>
      <c r="M5" s="3"/>
    </row>
    <row r="6" spans="1:21" ht="13.5" customHeight="1">
      <c r="A6" s="19"/>
      <c r="B6" s="20"/>
      <c r="C6" s="20" t="s">
        <v>40</v>
      </c>
      <c r="D6" s="20"/>
      <c r="E6" s="20"/>
      <c r="F6" s="21" t="s">
        <v>52</v>
      </c>
      <c r="G6" s="21"/>
      <c r="H6" s="21"/>
      <c r="I6" s="21"/>
      <c r="J6" s="20"/>
      <c r="K6" s="20"/>
      <c r="L6" s="20"/>
      <c r="M6" s="22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3" t="s">
        <v>2</v>
      </c>
      <c r="B7" s="23"/>
      <c r="C7" s="23" t="s">
        <v>219</v>
      </c>
      <c r="D7" s="24"/>
      <c r="E7" s="24"/>
      <c r="F7" s="23" t="s">
        <v>220</v>
      </c>
      <c r="G7" s="24"/>
      <c r="H7" s="24"/>
      <c r="I7" s="25"/>
      <c r="J7" s="24"/>
      <c r="K7" s="24"/>
      <c r="L7" s="24"/>
      <c r="M7" s="19"/>
      <c r="N7" s="20"/>
      <c r="O7" s="20" t="s">
        <v>87</v>
      </c>
      <c r="P7" s="20" t="s">
        <v>92</v>
      </c>
      <c r="Q7" s="20"/>
      <c r="R7" s="20"/>
      <c r="S7" s="20"/>
      <c r="T7" s="20"/>
      <c r="U7" s="20"/>
    </row>
    <row r="8" spans="1:21" ht="13.5" customHeight="1">
      <c r="A8" s="26"/>
      <c r="B8" s="26"/>
      <c r="C8" s="26"/>
      <c r="D8" s="26"/>
      <c r="E8" s="26"/>
      <c r="F8" s="26"/>
      <c r="G8" s="20"/>
      <c r="H8" s="20"/>
      <c r="I8" s="20"/>
      <c r="J8" s="20"/>
      <c r="K8" s="20"/>
      <c r="L8" s="20"/>
      <c r="M8" s="19"/>
      <c r="N8" s="20"/>
      <c r="O8" s="27">
        <v>38625</v>
      </c>
      <c r="P8" s="19">
        <f>O8</f>
        <v>38625</v>
      </c>
      <c r="Q8" s="20"/>
      <c r="R8" s="20"/>
      <c r="S8" s="20"/>
      <c r="T8" s="20"/>
      <c r="U8" s="20"/>
    </row>
    <row r="9" spans="1:21" ht="13.5" customHeight="1">
      <c r="A9" s="28" t="s">
        <v>3</v>
      </c>
      <c r="B9" s="20"/>
      <c r="C9" s="29"/>
      <c r="D9" s="20"/>
      <c r="E9" s="20"/>
      <c r="F9" s="29"/>
      <c r="G9" s="29"/>
      <c r="H9" s="20"/>
      <c r="I9" s="30">
        <v>34578</v>
      </c>
      <c r="J9" s="29"/>
      <c r="K9" s="20"/>
      <c r="L9" s="20"/>
      <c r="M9" s="19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19"/>
      <c r="B10" s="20"/>
      <c r="C10" s="20"/>
      <c r="D10" s="20"/>
      <c r="E10" s="20"/>
      <c r="F10" s="20"/>
      <c r="G10" s="20"/>
      <c r="H10" s="20"/>
      <c r="I10" s="31"/>
      <c r="J10" s="20"/>
      <c r="K10" s="20"/>
      <c r="L10" s="20"/>
      <c r="M10" s="21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19"/>
      <c r="B11" s="20"/>
      <c r="C11" s="20"/>
      <c r="D11" s="20"/>
      <c r="E11" s="20"/>
      <c r="F11" s="20"/>
      <c r="G11" s="20"/>
      <c r="H11" s="20"/>
      <c r="I11" s="31"/>
      <c r="J11" s="20"/>
      <c r="K11" s="20"/>
      <c r="L11" s="20"/>
      <c r="M11" s="21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19"/>
      <c r="B12" s="20"/>
      <c r="C12" s="20"/>
      <c r="D12" s="20"/>
      <c r="E12" s="20"/>
      <c r="F12" s="20"/>
      <c r="G12" s="20"/>
      <c r="H12" s="20"/>
      <c r="I12" s="31"/>
      <c r="J12" s="20"/>
      <c r="K12" s="20"/>
      <c r="L12" s="20"/>
      <c r="M12" s="21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8" t="s">
        <v>4</v>
      </c>
      <c r="B13" s="20"/>
      <c r="C13" s="20"/>
      <c r="D13" s="20"/>
      <c r="E13" s="20"/>
      <c r="F13" s="20"/>
      <c r="G13" s="20"/>
      <c r="H13" s="20"/>
      <c r="I13" s="30">
        <v>33878</v>
      </c>
      <c r="J13" s="20"/>
      <c r="K13" s="20"/>
      <c r="L13" s="20"/>
      <c r="M13" s="21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19"/>
      <c r="B14" s="20" t="s">
        <v>17</v>
      </c>
      <c r="C14" s="20"/>
      <c r="D14" s="20"/>
      <c r="E14" s="20"/>
      <c r="F14" s="20"/>
      <c r="G14" s="20"/>
      <c r="H14" s="20"/>
      <c r="I14" s="31"/>
      <c r="J14" s="20"/>
      <c r="K14" s="21"/>
      <c r="L14" s="20"/>
      <c r="M14" s="21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19"/>
      <c r="B15" s="20" t="s">
        <v>18</v>
      </c>
      <c r="C15" s="20"/>
      <c r="D15" s="20"/>
      <c r="E15" s="20"/>
      <c r="F15" s="20"/>
      <c r="G15" s="21">
        <f ca="1">(YEAR(TODAY())-1900)-(YEAR(I13)-1900)</f>
        <v>17</v>
      </c>
      <c r="H15" s="20" t="s">
        <v>57</v>
      </c>
      <c r="I15" s="31"/>
      <c r="J15" s="20"/>
      <c r="K15" s="21"/>
      <c r="L15" s="20"/>
      <c r="M15" s="21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19"/>
      <c r="B16" s="20"/>
      <c r="C16" s="20"/>
      <c r="D16" s="20"/>
      <c r="E16" s="20"/>
      <c r="F16" s="20"/>
      <c r="G16" s="24"/>
      <c r="H16" s="20"/>
      <c r="I16" s="31"/>
      <c r="J16" s="20"/>
      <c r="K16" s="21"/>
      <c r="L16" s="20"/>
      <c r="M16" s="21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19"/>
      <c r="B17" s="20"/>
      <c r="C17" s="20"/>
      <c r="D17" s="20"/>
      <c r="E17" s="20"/>
      <c r="F17" s="20"/>
      <c r="G17" s="20"/>
      <c r="H17" s="20"/>
      <c r="I17" s="31"/>
      <c r="J17" s="20"/>
      <c r="K17" s="9" t="s">
        <v>64</v>
      </c>
      <c r="L17" s="20"/>
      <c r="M17" s="21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8" t="s">
        <v>5</v>
      </c>
      <c r="B18" s="28"/>
      <c r="C18" s="20"/>
      <c r="D18" s="20"/>
      <c r="E18" s="20"/>
      <c r="F18" s="20"/>
      <c r="G18" s="20"/>
      <c r="H18" s="20"/>
      <c r="I18" s="31"/>
      <c r="J18" s="20"/>
      <c r="K18" s="9" t="s">
        <v>65</v>
      </c>
      <c r="L18" s="20"/>
      <c r="M18" s="21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19"/>
      <c r="B19" s="20"/>
      <c r="C19" s="20"/>
      <c r="D19" s="20"/>
      <c r="E19" s="20"/>
      <c r="F19" s="21" t="s">
        <v>53</v>
      </c>
      <c r="G19" s="21" t="s">
        <v>55</v>
      </c>
      <c r="H19" s="21"/>
      <c r="I19" s="21"/>
      <c r="J19" s="24"/>
      <c r="K19" s="25" t="s">
        <v>66</v>
      </c>
      <c r="L19" s="24"/>
      <c r="M19" s="21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19"/>
      <c r="B20" s="20" t="s">
        <v>19</v>
      </c>
      <c r="C20" s="20"/>
      <c r="D20" s="20"/>
      <c r="E20" s="20"/>
      <c r="F20" s="32">
        <v>8</v>
      </c>
      <c r="G20" s="33">
        <v>6</v>
      </c>
      <c r="H20" s="34"/>
      <c r="I20" s="35"/>
      <c r="J20" s="20"/>
      <c r="K20" s="32">
        <v>6</v>
      </c>
      <c r="L20" s="20"/>
      <c r="M20" s="21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0"/>
      <c r="B21" s="20"/>
      <c r="C21" s="20"/>
      <c r="D21" s="20"/>
      <c r="E21" s="20"/>
      <c r="F21" s="35"/>
      <c r="G21" s="34"/>
      <c r="H21" s="34"/>
      <c r="I21" s="35"/>
      <c r="J21" s="20"/>
      <c r="K21" s="35"/>
      <c r="L21" s="20"/>
      <c r="M21" s="19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19"/>
      <c r="B22" s="20" t="s">
        <v>20</v>
      </c>
      <c r="C22" s="20"/>
      <c r="D22" s="34"/>
      <c r="E22" s="34"/>
      <c r="F22" s="35">
        <v>21.5</v>
      </c>
      <c r="G22" s="20" t="s">
        <v>56</v>
      </c>
      <c r="H22" s="20"/>
      <c r="I22" s="20"/>
      <c r="J22" s="20"/>
      <c r="K22" s="20"/>
      <c r="L22" s="20"/>
      <c r="M22" s="19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19"/>
      <c r="B23" s="20"/>
      <c r="C23" s="20"/>
      <c r="D23" s="34"/>
      <c r="E23" s="34"/>
      <c r="F23" s="36"/>
      <c r="G23" s="20"/>
      <c r="H23" s="20"/>
      <c r="I23" s="20"/>
      <c r="J23" s="20"/>
      <c r="K23" s="20"/>
      <c r="L23" s="20"/>
      <c r="M23" s="19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19"/>
      <c r="B24" s="20"/>
      <c r="C24" s="20"/>
      <c r="D24" s="34"/>
      <c r="E24" s="34"/>
      <c r="F24" s="20"/>
      <c r="G24" s="20"/>
      <c r="H24" s="20"/>
      <c r="I24" s="20"/>
      <c r="J24" s="20"/>
      <c r="K24" s="21"/>
      <c r="L24" s="20"/>
      <c r="M24" s="18" t="s">
        <v>72</v>
      </c>
      <c r="N24" s="18"/>
      <c r="O24" s="20"/>
      <c r="P24" s="20"/>
      <c r="Q24" s="20"/>
      <c r="R24" s="20"/>
      <c r="S24" s="20"/>
      <c r="T24" s="20"/>
      <c r="U24" s="20"/>
    </row>
    <row r="25" spans="1:21" ht="13.5" customHeight="1">
      <c r="A25" s="19"/>
      <c r="B25" s="20"/>
      <c r="C25" s="20"/>
      <c r="D25" s="34"/>
      <c r="E25" s="34"/>
      <c r="F25" s="20"/>
      <c r="G25" s="20"/>
      <c r="H25" s="20"/>
      <c r="I25" s="20"/>
      <c r="J25" s="20"/>
      <c r="K25" s="9" t="s">
        <v>67</v>
      </c>
      <c r="L25" s="20"/>
      <c r="M25" s="18" t="s">
        <v>73</v>
      </c>
      <c r="N25" s="18"/>
      <c r="O25" s="20"/>
      <c r="P25" s="20"/>
      <c r="Q25" s="20"/>
      <c r="R25" s="20"/>
      <c r="S25" s="20"/>
      <c r="T25" s="20"/>
      <c r="U25" s="20"/>
    </row>
    <row r="26" spans="1:21" ht="13.5" customHeight="1">
      <c r="A26" s="28" t="s">
        <v>6</v>
      </c>
      <c r="B26" s="28"/>
      <c r="C26" s="20"/>
      <c r="D26" s="20"/>
      <c r="E26" s="20"/>
      <c r="F26" s="20"/>
      <c r="G26" s="20"/>
      <c r="H26" s="20"/>
      <c r="I26" s="21" t="s">
        <v>59</v>
      </c>
      <c r="J26" s="20"/>
      <c r="K26" s="9" t="s">
        <v>68</v>
      </c>
      <c r="L26" s="20"/>
      <c r="M26" s="18" t="s">
        <v>74</v>
      </c>
      <c r="N26" s="18"/>
      <c r="O26" s="20"/>
      <c r="P26" s="20"/>
      <c r="Q26" s="20"/>
      <c r="R26" s="20"/>
      <c r="S26" s="20"/>
      <c r="T26" s="20"/>
      <c r="U26" s="20"/>
    </row>
    <row r="27" spans="1:21" ht="13.5" customHeight="1">
      <c r="A27" s="19"/>
      <c r="B27" s="20" t="s">
        <v>21</v>
      </c>
      <c r="C27" s="20"/>
      <c r="D27" s="20"/>
      <c r="E27" s="20"/>
      <c r="F27" s="20"/>
      <c r="G27" s="20"/>
      <c r="H27" s="20"/>
      <c r="I27" s="75">
        <f>VLOOKUP(F20,TVÖD,(G20)+1)</f>
        <v>2695.24</v>
      </c>
      <c r="J27" s="20"/>
      <c r="K27" s="75">
        <f>ROUND(I27/O2*F$22,2)</f>
        <v>1485.84</v>
      </c>
      <c r="L27" s="20"/>
      <c r="M27" s="37"/>
      <c r="N27" s="37"/>
      <c r="O27" s="20"/>
      <c r="P27" s="20"/>
      <c r="Q27" s="20"/>
      <c r="R27" s="20"/>
      <c r="S27" s="20"/>
      <c r="T27" s="20"/>
      <c r="U27" s="20"/>
    </row>
    <row r="28" spans="1:21" ht="13.5" customHeight="1">
      <c r="A28" s="19"/>
      <c r="B28" s="20" t="s">
        <v>22</v>
      </c>
      <c r="C28" s="20"/>
      <c r="D28" s="20"/>
      <c r="E28" s="20"/>
      <c r="F28" s="20"/>
      <c r="G28" s="20"/>
      <c r="H28" s="20"/>
      <c r="I28" s="79">
        <f>K28/F22*O2</f>
        <v>88.0493023255814</v>
      </c>
      <c r="J28" s="20"/>
      <c r="K28" s="76">
        <v>48.54</v>
      </c>
      <c r="L28" s="20"/>
      <c r="M28" s="34" t="s">
        <v>75</v>
      </c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19"/>
      <c r="B29" s="20" t="s">
        <v>23</v>
      </c>
      <c r="C29" s="20"/>
      <c r="D29" s="20"/>
      <c r="E29" s="20"/>
      <c r="F29" s="20"/>
      <c r="G29" s="20"/>
      <c r="H29" s="20"/>
      <c r="I29" s="79">
        <f>IF(AND(G20&lt;6,I9&lt;38626),P29,0)</f>
        <v>0</v>
      </c>
      <c r="J29" s="20"/>
      <c r="K29" s="77">
        <f>ROUND(I29/O$2*F$22,2)</f>
        <v>0</v>
      </c>
      <c r="L29" s="20"/>
      <c r="M29" s="39" t="s">
        <v>76</v>
      </c>
      <c r="N29" s="20"/>
      <c r="O29" s="20" t="s">
        <v>88</v>
      </c>
      <c r="P29" s="84">
        <f>ROUND(+I27*0.0265,2)</f>
        <v>71.42</v>
      </c>
      <c r="Q29" s="20"/>
      <c r="R29" s="20"/>
      <c r="S29" s="20"/>
      <c r="T29" s="20"/>
      <c r="U29" s="20"/>
    </row>
    <row r="30" spans="1:21" ht="13.5" customHeight="1">
      <c r="A30" s="19"/>
      <c r="B30" s="20" t="s">
        <v>24</v>
      </c>
      <c r="C30" s="20"/>
      <c r="D30" s="20"/>
      <c r="E30" s="20"/>
      <c r="F30" s="20"/>
      <c r="G30" s="20"/>
      <c r="H30" s="20"/>
      <c r="I30" s="79"/>
      <c r="J30" s="20"/>
      <c r="K30" s="77"/>
      <c r="L30" s="20"/>
      <c r="M30" s="19"/>
      <c r="N30" s="20"/>
      <c r="O30" s="20"/>
      <c r="P30" s="38"/>
      <c r="Q30" s="20"/>
      <c r="R30" s="20"/>
      <c r="S30" s="20"/>
      <c r="T30" s="20"/>
      <c r="U30" s="20"/>
    </row>
    <row r="31" spans="1:21" ht="13.5" customHeight="1">
      <c r="A31" s="19"/>
      <c r="B31" s="20" t="s">
        <v>25</v>
      </c>
      <c r="C31" s="20"/>
      <c r="D31" s="20"/>
      <c r="E31" s="20"/>
      <c r="F31" s="20"/>
      <c r="G31" s="20"/>
      <c r="H31" s="20"/>
      <c r="I31" s="79">
        <f>K31/F22*O2</f>
        <v>0</v>
      </c>
      <c r="J31" s="20"/>
      <c r="K31" s="76"/>
      <c r="L31" s="20"/>
      <c r="M31" s="34" t="s">
        <v>77</v>
      </c>
      <c r="N31" s="20"/>
      <c r="O31" s="20"/>
      <c r="P31" s="38"/>
      <c r="Q31" s="20"/>
      <c r="R31" s="20"/>
      <c r="S31" s="20"/>
      <c r="T31" s="20"/>
      <c r="U31" s="20"/>
    </row>
    <row r="32" spans="1:21" ht="13.5" customHeight="1">
      <c r="A32" s="19"/>
      <c r="B32" s="40"/>
      <c r="C32" s="40"/>
      <c r="D32" s="24"/>
      <c r="E32" s="24"/>
      <c r="F32" s="24"/>
      <c r="G32" s="24"/>
      <c r="H32" s="24"/>
      <c r="I32" s="80">
        <f>SUM(I27:I31)</f>
        <v>2783.289302325581</v>
      </c>
      <c r="J32" s="20"/>
      <c r="K32" s="75">
        <f>SUM(K27:K31)</f>
        <v>1534.3799999999999</v>
      </c>
      <c r="L32" s="20"/>
      <c r="M32" s="34"/>
      <c r="N32" s="20"/>
      <c r="O32" s="20"/>
      <c r="P32" s="38"/>
      <c r="Q32" s="20"/>
      <c r="R32" s="20"/>
      <c r="S32" s="20"/>
      <c r="T32" s="20"/>
      <c r="U32" s="20"/>
    </row>
    <row r="33" spans="1:21" ht="13.5" customHeight="1">
      <c r="A33" s="20" t="s">
        <v>7</v>
      </c>
      <c r="B33" s="20"/>
      <c r="C33" s="29"/>
      <c r="D33" s="20" t="s">
        <v>49</v>
      </c>
      <c r="E33" s="20"/>
      <c r="F33" s="20"/>
      <c r="G33" s="20"/>
      <c r="H33" s="20"/>
      <c r="I33" s="20"/>
      <c r="J33" s="20"/>
      <c r="K33" s="76">
        <v>105.84</v>
      </c>
      <c r="L33" s="20"/>
      <c r="M33" s="34" t="s">
        <v>75</v>
      </c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19"/>
      <c r="B34" s="20"/>
      <c r="C34" s="20"/>
      <c r="D34" s="20" t="s">
        <v>50</v>
      </c>
      <c r="E34" s="20"/>
      <c r="F34" s="20"/>
      <c r="G34" s="20"/>
      <c r="H34" s="20"/>
      <c r="I34" s="20"/>
      <c r="J34" s="20"/>
      <c r="K34" s="78">
        <v>30.32</v>
      </c>
      <c r="L34" s="20"/>
      <c r="M34" s="33" t="s">
        <v>78</v>
      </c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19"/>
      <c r="B35" s="20"/>
      <c r="C35" s="20"/>
      <c r="D35" s="20" t="s">
        <v>51</v>
      </c>
      <c r="E35" s="20"/>
      <c r="F35" s="20"/>
      <c r="G35" s="20"/>
      <c r="H35" s="20"/>
      <c r="I35" s="20"/>
      <c r="J35" s="20"/>
      <c r="K35" s="78">
        <v>3.67</v>
      </c>
      <c r="L35" s="20"/>
      <c r="M35" s="34" t="s">
        <v>75</v>
      </c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19"/>
      <c r="B36" s="20" t="s">
        <v>26</v>
      </c>
      <c r="C36" s="20"/>
      <c r="D36" s="20"/>
      <c r="E36" s="20"/>
      <c r="F36" s="20"/>
      <c r="G36" s="20"/>
      <c r="H36" s="20"/>
      <c r="I36" s="24"/>
      <c r="J36" s="20"/>
      <c r="K36" s="75">
        <f>SUM(K32:K35)</f>
        <v>1674.2099999999998</v>
      </c>
      <c r="L36" s="20"/>
      <c r="M36" s="19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19"/>
      <c r="B37" s="20"/>
      <c r="C37" s="20"/>
      <c r="D37" s="20"/>
      <c r="E37" s="20"/>
      <c r="F37" s="20"/>
      <c r="G37" s="20"/>
      <c r="H37" s="20"/>
      <c r="I37" s="20" t="s">
        <v>60</v>
      </c>
      <c r="J37" s="20"/>
      <c r="K37" s="77">
        <f>-K29</f>
        <v>0</v>
      </c>
      <c r="L37" s="20"/>
      <c r="M37" s="19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19"/>
      <c r="B38" s="20"/>
      <c r="C38" s="20"/>
      <c r="D38" s="20"/>
      <c r="E38" s="20"/>
      <c r="F38" s="20"/>
      <c r="G38" s="20"/>
      <c r="H38" s="20"/>
      <c r="I38" s="40" t="s">
        <v>19</v>
      </c>
      <c r="J38" s="24"/>
      <c r="K38" s="75">
        <f>K36+K37</f>
        <v>1674.2099999999998</v>
      </c>
      <c r="L38" s="20"/>
      <c r="M38" s="19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9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28" t="s">
        <v>8</v>
      </c>
      <c r="B40" s="28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9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28"/>
      <c r="B41" s="2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9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8"/>
      <c r="B42" s="20" t="s">
        <v>27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9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8"/>
      <c r="B43" s="20" t="str">
        <f>A7&amp;" "&amp;C7&amp;" entsprechend der Stufenzuordnungstabelle wie folgt der"</f>
        <v>Frau Musterfrau entsprechend der Stufenzuordnungstabelle wie folgt der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9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8"/>
      <c r="B44" s="20" t="s">
        <v>28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9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8"/>
      <c r="B45" s="2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9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8"/>
      <c r="B46" s="20" t="s">
        <v>29</v>
      </c>
      <c r="C46" s="20"/>
      <c r="D46" s="20"/>
      <c r="E46" s="20"/>
      <c r="F46" s="20"/>
      <c r="G46" s="20">
        <f>G15</f>
        <v>17</v>
      </c>
      <c r="H46" s="20" t="s">
        <v>58</v>
      </c>
      <c r="I46" s="20" t="s">
        <v>61</v>
      </c>
      <c r="J46" s="20"/>
      <c r="K46" s="20"/>
      <c r="L46" s="20"/>
      <c r="M46" s="19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28"/>
      <c r="B47" s="20" t="s">
        <v>30</v>
      </c>
      <c r="C47" s="20"/>
      <c r="D47" s="20"/>
      <c r="E47" s="20"/>
      <c r="F47" s="20"/>
      <c r="G47" s="20">
        <f>VLOOKUP(G46,BESCH-ZEIT,2)</f>
        <v>5</v>
      </c>
      <c r="H47" s="20"/>
      <c r="I47" s="20"/>
      <c r="J47" s="20"/>
      <c r="K47" s="20"/>
      <c r="L47" s="20"/>
      <c r="M47" s="19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8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9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8"/>
      <c r="B49" s="20" t="str">
        <f>"a) "&amp;A7&amp;" "&amp;C7&amp;" ist in die Entgeltgruppe  "&amp;FIXED(K20,0,TRUE)&amp;"  einzureihen; vgl. oben Ziffer 3."</f>
        <v>a) Frau Musterfrau ist in die Entgeltgruppe  6  einzureihen; vgl. oben Ziffer 3.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9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8"/>
      <c r="B50" s="20" t="str">
        <f>"b) in dieser Entgeltgruppe ist "&amp;A7&amp;" "&amp;C7&amp;" in die Stufe  "&amp;FIXED(G47,0,TRUE)&amp;"  einzuordnen."</f>
        <v>b) in dieser Entgeltgruppe ist Frau Musterfrau in die Stufe  5  einzuordnen.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9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8"/>
      <c r="B51" s="20"/>
      <c r="C51" s="20"/>
      <c r="D51" s="20"/>
      <c r="E51" s="20"/>
      <c r="F51" s="20"/>
      <c r="G51" s="20"/>
      <c r="H51" s="20"/>
      <c r="I51" s="20"/>
      <c r="J51" s="20"/>
      <c r="K51" s="21" t="s">
        <v>69</v>
      </c>
      <c r="L51" s="20"/>
      <c r="M51" s="19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8"/>
      <c r="B52" s="20"/>
      <c r="C52" s="20"/>
      <c r="D52" s="20"/>
      <c r="E52" s="20"/>
      <c r="F52" s="20"/>
      <c r="G52" s="20"/>
      <c r="H52" s="20"/>
      <c r="I52" s="21" t="s">
        <v>59</v>
      </c>
      <c r="J52" s="21"/>
      <c r="K52" s="21" t="s">
        <v>70</v>
      </c>
      <c r="L52" s="20"/>
      <c r="M52" s="19"/>
      <c r="N52" s="20"/>
      <c r="O52" s="20" t="s">
        <v>89</v>
      </c>
      <c r="P52" s="20"/>
      <c r="Q52" s="20">
        <f>K20</f>
        <v>6</v>
      </c>
      <c r="R52" s="20"/>
      <c r="S52" s="20"/>
      <c r="T52" s="20"/>
      <c r="U52" s="20"/>
    </row>
    <row r="53" spans="1:21" ht="13.5" customHeight="1">
      <c r="A53" s="28"/>
      <c r="B53" s="20" t="str">
        <f>"c) damit ergibt sich für "&amp;A7&amp;" "&amp;C7&amp;" ein Entgelt von"</f>
        <v>c) damit ergibt sich für Frau Musterfrau ein Entgelt von</v>
      </c>
      <c r="C53" s="20"/>
      <c r="D53" s="20"/>
      <c r="E53" s="20"/>
      <c r="F53" s="20"/>
      <c r="G53" s="20"/>
      <c r="H53" s="20"/>
      <c r="I53" s="24"/>
      <c r="J53" s="24"/>
      <c r="K53" s="24"/>
      <c r="L53" s="20"/>
      <c r="M53" s="19"/>
      <c r="N53" s="20"/>
      <c r="O53" s="20" t="s">
        <v>90</v>
      </c>
      <c r="P53" s="20"/>
      <c r="Q53" s="20">
        <f>G47</f>
        <v>5</v>
      </c>
      <c r="R53" s="20"/>
      <c r="S53" s="20"/>
      <c r="T53" s="20"/>
      <c r="U53" s="20"/>
    </row>
    <row r="54" spans="1:21" ht="13.5" customHeight="1">
      <c r="A54" s="28"/>
      <c r="B54" s="20"/>
      <c r="C54" s="20"/>
      <c r="D54" s="20"/>
      <c r="E54" s="20"/>
      <c r="F54" s="20"/>
      <c r="G54" s="20"/>
      <c r="H54" s="20"/>
      <c r="I54" s="81">
        <f>VLOOKUP(Q52,TVÖD_SUE,(Q53)+1)</f>
        <v>2705</v>
      </c>
      <c r="J54" s="82"/>
      <c r="K54" s="82">
        <f>ROUND(I54/O$2*F$22,2)</f>
        <v>1491.22</v>
      </c>
      <c r="L54" s="20"/>
      <c r="M54" s="19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19"/>
      <c r="B55" s="20" t="s">
        <v>31</v>
      </c>
      <c r="C55" s="20"/>
      <c r="D55" s="20"/>
      <c r="E55" s="20"/>
      <c r="F55" s="20"/>
      <c r="G55" s="20"/>
      <c r="H55" s="20"/>
      <c r="I55" s="26"/>
      <c r="J55" s="20"/>
      <c r="K55" s="20"/>
      <c r="L55" s="20"/>
      <c r="M55" s="19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8" t="s">
        <v>9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9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9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19"/>
      <c r="B59" s="20" t="s">
        <v>32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9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33" t="s">
        <v>10</v>
      </c>
      <c r="B60" s="20" t="s">
        <v>33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19"/>
      <c r="B61" s="20"/>
      <c r="C61" s="20"/>
      <c r="D61" s="20"/>
      <c r="E61" s="20"/>
      <c r="F61" s="20"/>
      <c r="G61" s="20"/>
      <c r="H61" s="20"/>
      <c r="I61" s="21" t="s">
        <v>59</v>
      </c>
      <c r="J61" s="21"/>
      <c r="K61" s="21" t="s">
        <v>70</v>
      </c>
      <c r="L61" s="20"/>
      <c r="M61" s="19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19"/>
      <c r="B62" s="20" t="s">
        <v>34</v>
      </c>
      <c r="C62" s="20"/>
      <c r="D62" s="20"/>
      <c r="E62" s="20"/>
      <c r="F62" s="20"/>
      <c r="G62" s="20"/>
      <c r="H62" s="20"/>
      <c r="I62" s="83">
        <f>I32</f>
        <v>2783.289302325581</v>
      </c>
      <c r="J62" s="83"/>
      <c r="K62" s="83"/>
      <c r="L62" s="20"/>
      <c r="M62" s="19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19"/>
      <c r="B63" s="20" t="s">
        <v>35</v>
      </c>
      <c r="C63" s="20"/>
      <c r="D63" s="20"/>
      <c r="E63" s="20"/>
      <c r="F63" s="20"/>
      <c r="G63" s="20"/>
      <c r="H63" s="20"/>
      <c r="I63" s="84">
        <f>I54</f>
        <v>2705</v>
      </c>
      <c r="J63" s="82"/>
      <c r="K63" s="82"/>
      <c r="L63" s="20"/>
      <c r="M63" s="19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19"/>
      <c r="B64" s="24"/>
      <c r="C64" s="24"/>
      <c r="D64" s="24"/>
      <c r="E64" s="24"/>
      <c r="F64" s="24"/>
      <c r="G64" s="24"/>
      <c r="H64" s="24"/>
      <c r="I64" s="83"/>
      <c r="J64" s="82"/>
      <c r="K64" s="82"/>
      <c r="L64" s="20"/>
      <c r="M64" s="41" t="s">
        <v>245</v>
      </c>
      <c r="N64" s="42"/>
      <c r="O64" s="42"/>
      <c r="P64" s="42"/>
      <c r="Q64" s="42"/>
      <c r="R64" s="42"/>
      <c r="S64" s="42"/>
      <c r="T64" s="42"/>
      <c r="U64" s="42"/>
    </row>
    <row r="65" spans="1:21" ht="13.5" customHeight="1">
      <c r="A65" s="19"/>
      <c r="B65" s="20"/>
      <c r="C65" s="20"/>
      <c r="D65" s="20"/>
      <c r="E65" s="20"/>
      <c r="F65" s="20" t="s">
        <v>54</v>
      </c>
      <c r="G65" s="20"/>
      <c r="H65" s="20"/>
      <c r="I65" s="84">
        <f>I62-I63</f>
        <v>78.28930232558105</v>
      </c>
      <c r="J65" s="82"/>
      <c r="K65" s="84">
        <f>ROUND(I65/O$2*F$22,2)</f>
        <v>43.16</v>
      </c>
      <c r="L65" s="20"/>
      <c r="M65" s="19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19"/>
      <c r="B66" s="20">
        <f>IF($I$29&gt;0,N66,0)</f>
        <v>0</v>
      </c>
      <c r="C66" s="20"/>
      <c r="D66" s="20"/>
      <c r="E66" s="20"/>
      <c r="F66" s="20"/>
      <c r="G66" s="20"/>
      <c r="H66" s="20"/>
      <c r="I66" s="38"/>
      <c r="J66" s="20"/>
      <c r="K66" s="38"/>
      <c r="L66" s="20"/>
      <c r="M66" s="33" t="s">
        <v>80</v>
      </c>
      <c r="N66" s="20" t="s">
        <v>83</v>
      </c>
      <c r="O66" s="20"/>
      <c r="P66" s="20"/>
      <c r="Q66" s="20"/>
      <c r="R66" s="20"/>
      <c r="S66" s="20"/>
      <c r="T66" s="20"/>
      <c r="U66" s="20"/>
    </row>
    <row r="67" spans="1:21" ht="13.5" customHeight="1">
      <c r="A67" s="19"/>
      <c r="B67" s="20">
        <f>IF($I$29&gt;0,N67,0)</f>
        <v>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33" t="s">
        <v>80</v>
      </c>
      <c r="N67" s="20" t="s">
        <v>84</v>
      </c>
      <c r="O67" s="20"/>
      <c r="P67" s="20"/>
      <c r="Q67" s="20"/>
      <c r="R67" s="20"/>
      <c r="S67" s="38"/>
      <c r="T67" s="20"/>
      <c r="U67" s="20"/>
    </row>
    <row r="68" spans="1:28" ht="13.5" customHeight="1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9"/>
      <c r="N68" s="20" t="s">
        <v>85</v>
      </c>
      <c r="O68" s="20"/>
      <c r="P68" s="20"/>
      <c r="Q68" s="20"/>
      <c r="R68" s="20"/>
      <c r="S68" s="38"/>
      <c r="T68" s="20"/>
      <c r="U68" s="20"/>
      <c r="AA68" s="5"/>
      <c r="AB68" s="10"/>
    </row>
    <row r="69" spans="1:21" ht="13.5" customHeight="1">
      <c r="A69" s="19"/>
      <c r="B69" s="43" t="str">
        <f>IF(G47=6,"x"," ")</f>
        <v> </v>
      </c>
      <c r="C69" s="44" t="str">
        <f>"  hierbei handelt es sich um die Endstufe der Entgeltgruppe "&amp;FIXED(K20,0,TRUE)</f>
        <v>  hierbei handelt es sich um die Endstufe der Entgeltgruppe 6</v>
      </c>
      <c r="D69" s="20"/>
      <c r="E69" s="20"/>
      <c r="F69" s="20"/>
      <c r="G69" s="20"/>
      <c r="H69" s="20"/>
      <c r="I69" s="20"/>
      <c r="J69" s="20"/>
      <c r="K69" s="20"/>
      <c r="L69" s="20"/>
      <c r="M69" s="33" t="s">
        <v>79</v>
      </c>
      <c r="N69" s="20">
        <f>IF($I$65&lt;0,"Das neue Tarifentgelt liegt über dem Vergleichsentgelt, "&amp;$A$7&amp;" "&amp;$C$7&amp;" erhält daher das neue Tarifentgelt.",0)</f>
        <v>0</v>
      </c>
      <c r="O69" s="20"/>
      <c r="P69" s="20"/>
      <c r="Q69" s="20"/>
      <c r="R69" s="20"/>
      <c r="S69" s="20"/>
      <c r="T69" s="20"/>
      <c r="U69" s="20"/>
    </row>
    <row r="70" spans="1:21" ht="13.5" customHeight="1">
      <c r="A70" s="19"/>
      <c r="B70" s="24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9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19"/>
      <c r="B71" s="43" t="str">
        <f>IF(G47&lt;6,"x"," ")</f>
        <v>x</v>
      </c>
      <c r="C71" s="44" t="str">
        <f>"  hierbei handelt es sich nicht um die Endstufe der Entgeltgruppe "&amp;FIXED(K20,0,TRUE)</f>
        <v>  hierbei handelt es sich nicht um die Endstufe der Entgeltgruppe 6</v>
      </c>
      <c r="D71" s="20"/>
      <c r="E71" s="20"/>
      <c r="F71" s="20"/>
      <c r="G71" s="20"/>
      <c r="H71" s="20"/>
      <c r="I71" s="20"/>
      <c r="J71" s="20"/>
      <c r="K71" s="20"/>
      <c r="L71" s="20"/>
      <c r="M71" s="19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19"/>
      <c r="B72" s="24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33" t="s">
        <v>79</v>
      </c>
      <c r="N72" s="20" t="str">
        <f>IF($G$47&lt;6,$A$7&amp;" "&amp;$C$7&amp;" erhält daher eine individuelle Zwischenstufe in Höhe der Differenz zum Vergleichsentgelt;",$A$7&amp;" "&amp;$C$7&amp;" erhält daher eine individuelle Endstufe in Höhe der Differenz zum Vergleichsentgelt;")</f>
        <v>Frau Musterfrau erhält daher eine individuelle Zwischenstufe in Höhe der Differenz zum Vergleichsentgelt;</v>
      </c>
      <c r="O72" s="20"/>
      <c r="P72" s="20"/>
      <c r="Q72" s="20"/>
      <c r="R72" s="20"/>
      <c r="S72" s="20"/>
      <c r="T72" s="20"/>
      <c r="U72" s="20"/>
    </row>
    <row r="73" spans="1:21" ht="13.5" customHeight="1">
      <c r="A73" s="1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9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19" t="str">
        <f>IF($I$65&lt;0,N69,N72)</f>
        <v>Frau Musterfrau erhält daher eine individuelle Zwischenstufe in Höhe der Differenz zum Vergleichsentgelt;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3" t="s">
        <v>79</v>
      </c>
      <c r="N74" s="20" t="str">
        <f>IF($G$47&lt;6,$A$7&amp;" "&amp;$C$7&amp;" erhält diese Zwischenstufe bis zur nächsten regulären Stufensteigerung. ",$A$7&amp;" "&amp;$C$7&amp;" behält diese individuelle Endstufe ( 6+ ) solange Sie bei der Gemeinde beschäftigt ist.")</f>
        <v>Frau Musterfrau erhält diese Zwischenstufe bis zur nächsten regulären Stufensteigerung. </v>
      </c>
      <c r="O74" s="20"/>
      <c r="P74" s="20"/>
      <c r="Q74" s="20"/>
      <c r="R74" s="20"/>
      <c r="S74" s="20"/>
      <c r="T74" s="20"/>
      <c r="U74" s="20"/>
    </row>
    <row r="75" spans="1:21" ht="13.5" customHeight="1">
      <c r="A75" s="19"/>
      <c r="B75" s="20"/>
      <c r="C75" s="20"/>
      <c r="D75" s="20" t="str">
        <f>IF($I$65&lt;0,0,"somit")</f>
        <v>somit</v>
      </c>
      <c r="E75" s="20"/>
      <c r="F75" s="38">
        <f>IF($I$65&lt;0,0,I65)</f>
        <v>78.28930232558105</v>
      </c>
      <c r="G75" s="20" t="str">
        <f>IF($I$65&lt;0,0,"bei Vollbeschäftigung")</f>
        <v>bei Vollbeschäftigung</v>
      </c>
      <c r="H75" s="20"/>
      <c r="I75" s="20"/>
      <c r="J75" s="20"/>
      <c r="K75" s="20"/>
      <c r="L75" s="20"/>
      <c r="M75" s="33" t="s">
        <v>79</v>
      </c>
      <c r="N75" s="20" t="str">
        <f>IF($G$47&lt;6,$A$7&amp;" "&amp;$C$7&amp;" erhält diese Zwischenstufe bis Ende des Kiga-Jahres 2009/ 2010. ",$A$7&amp;" "&amp;$C$7&amp;" behält diese individuelle Endstufe ( 6+ ) bis Ende des Kiga-Jahres 2009/ 2010.")</f>
        <v>Frau Musterfrau erhält diese Zwischenstufe bis Ende des Kiga-Jahres 2009/ 2010. </v>
      </c>
      <c r="O75" s="20"/>
      <c r="P75" s="20"/>
      <c r="Q75" s="20"/>
      <c r="R75" s="20"/>
      <c r="S75" s="20"/>
      <c r="T75" s="20"/>
      <c r="U75" s="20"/>
    </row>
    <row r="76" spans="1:21" ht="13.5" customHeight="1">
      <c r="A76" s="19"/>
      <c r="B76" s="20"/>
      <c r="C76" s="20"/>
      <c r="D76" s="20" t="str">
        <f>IF($I$65&lt;0,0,"somit")</f>
        <v>somit</v>
      </c>
      <c r="E76" s="20"/>
      <c r="F76" s="38">
        <f>IF($K$65&lt;0,0,K65)</f>
        <v>43.16</v>
      </c>
      <c r="G76" s="20" t="str">
        <f>IF($I$65&lt;0,0,"bei der derzeitigen Teilzeitbeschäftigung")</f>
        <v>bei der derzeitigen Teilzeitbeschäftigung</v>
      </c>
      <c r="H76" s="20"/>
      <c r="I76" s="20"/>
      <c r="J76" s="20"/>
      <c r="K76" s="20"/>
      <c r="L76" s="20"/>
      <c r="M76" s="19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19" t="str">
        <f>IF(I65&lt;0,0,N74)</f>
        <v>Frau Musterfrau erhält diese Zwischenstufe bis zur nächsten regulären Stufensteigerung. 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33" t="s">
        <v>79</v>
      </c>
      <c r="N77" s="20" t="str">
        <f>IF($K$34&gt;0,$A$7&amp;" "&amp;$C$7&amp;" erhält bereits einen Stukturausgleich in Höhe von",0)</f>
        <v>Frau Musterfrau erhält bereits einen Stukturausgleich in Höhe von</v>
      </c>
      <c r="O77" s="20"/>
      <c r="P77" s="20"/>
      <c r="Q77" s="20"/>
      <c r="R77" s="20"/>
      <c r="S77" s="20"/>
      <c r="T77" s="20"/>
      <c r="U77" s="20"/>
    </row>
    <row r="78" spans="1:21" ht="13.5" customHeight="1">
      <c r="A78" s="19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33" t="s">
        <v>79</v>
      </c>
      <c r="N78" s="20">
        <f>IF($K$34&gt;0,0,$A$7&amp;" "&amp;$C$7&amp;" erhält keinen Stukturausgleich.")</f>
        <v>0</v>
      </c>
      <c r="O78" s="20"/>
      <c r="P78" s="20"/>
      <c r="Q78" s="20"/>
      <c r="R78" s="20"/>
      <c r="S78" s="20"/>
      <c r="T78" s="20"/>
      <c r="U78" s="20"/>
    </row>
    <row r="79" spans="1:21" ht="13.5" customHeight="1">
      <c r="A79" s="19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9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19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9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33" t="s">
        <v>79</v>
      </c>
      <c r="N81" s="20" t="str">
        <f>IF($K$34&gt;0,"Dieser Strukturausgleich wird, nicht dynamisch, weiter bezahlt (§ 12 TVÜ-VKA).",0)</f>
        <v>Dieser Strukturausgleich wird, nicht dynamisch, weiter bezahlt (§ 12 TVÜ-VKA).</v>
      </c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9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19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9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9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9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9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8" t="s">
        <v>11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9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19"/>
      <c r="B88" s="20" t="s">
        <v>36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9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19"/>
      <c r="B89" s="20" t="s">
        <v>37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9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19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9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19"/>
      <c r="B91" s="20" t="str">
        <f>IF(K34&gt;0,N77,N78)</f>
        <v>Frau Musterfrau erhält bereits einen Stukturausgleich in Höhe von</v>
      </c>
      <c r="C91" s="20"/>
      <c r="D91" s="20"/>
      <c r="E91" s="20"/>
      <c r="F91" s="20"/>
      <c r="G91" s="20"/>
      <c r="H91" s="20"/>
      <c r="I91" s="20"/>
      <c r="J91" s="20"/>
      <c r="K91" s="84">
        <f>IF(K34&gt;0,K34,0)</f>
        <v>30.32</v>
      </c>
      <c r="L91" s="20"/>
      <c r="M91" s="33" t="s">
        <v>80</v>
      </c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19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9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19"/>
      <c r="B93" s="20" t="str">
        <f>IF(K34&gt;0,N81,0)</f>
        <v>Dieser Strukturausgleich wird, nicht dynamisch, weiter bezahlt (§ 12 TVÜ-VKA).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3" t="s">
        <v>80</v>
      </c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19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9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19" t="str">
        <f ca="1">"Freiamt, den "&amp;FIXED(DAY(NOW()),0,TRUE)&amp;"."&amp;FIXED(MONTH(NOW()),0,TRUE)&amp;"."&amp;FIXED(YEAR(NOW()),0,TRUE)</f>
        <v>Freiamt, den 19.11.2009</v>
      </c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9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19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9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19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9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19" t="s">
        <v>12</v>
      </c>
      <c r="B98" s="20"/>
      <c r="C98" s="20"/>
      <c r="D98" s="20"/>
      <c r="E98" s="20"/>
      <c r="F98" s="20"/>
      <c r="G98" s="20"/>
      <c r="H98" s="20"/>
      <c r="I98" s="20" t="s">
        <v>62</v>
      </c>
      <c r="J98" s="20"/>
      <c r="K98" s="20"/>
      <c r="L98" s="20"/>
      <c r="M98" s="19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19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9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19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 t="str">
        <f>"Im landeseinheitlichen Verfahren für das Personalwesen  ( PWES ) sind daher für "&amp;A7&amp;" "&amp;C7</f>
        <v>Im landeseinheitlichen Verfahren für das Personalwesen  ( PWES ) sind daher für Frau Musterfrau</v>
      </c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9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 t="s">
        <v>13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9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45" t="s">
        <v>71</v>
      </c>
      <c r="L103" s="20"/>
      <c r="M103" s="19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19" t="s">
        <v>14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4"/>
      <c r="L104" s="20"/>
      <c r="M104" s="19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19"/>
      <c r="B105" s="20" t="s">
        <v>38</v>
      </c>
      <c r="C105" s="20"/>
      <c r="D105" s="20"/>
      <c r="E105" s="20"/>
      <c r="F105" s="20"/>
      <c r="G105" s="20"/>
      <c r="H105" s="20"/>
      <c r="I105" s="20"/>
      <c r="J105" s="20"/>
      <c r="K105" s="29" t="str">
        <f>IF(K20&lt;10,"55"&amp;FIXED($K$20,0,TRUE)&amp;"0","56"&amp;RIGHT(FIXED($K$20,0,TRUE),1)&amp;"0")</f>
        <v>5560</v>
      </c>
      <c r="L105" s="20"/>
      <c r="M105" s="33" t="s">
        <v>81</v>
      </c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19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19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 t="s">
        <v>15</v>
      </c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9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19"/>
      <c r="B108" s="20" t="s">
        <v>39</v>
      </c>
      <c r="C108" s="20"/>
      <c r="D108" s="20" t="str">
        <f>IF(I65&lt;0,"keine",O108)</f>
        <v>  Schlüssel 0351  =  indiv. Zwischenstufe =&gt;</v>
      </c>
      <c r="E108" s="20"/>
      <c r="F108" s="20"/>
      <c r="G108" s="20"/>
      <c r="H108" s="20"/>
      <c r="I108" s="20"/>
      <c r="J108" s="20"/>
      <c r="K108" s="84">
        <f>F75</f>
        <v>78.28930232558105</v>
      </c>
      <c r="L108" s="20"/>
      <c r="M108" s="33" t="s">
        <v>82</v>
      </c>
      <c r="N108" s="20"/>
      <c r="O108" s="20" t="str">
        <f>IF($G$47&lt;6,"  Schlüssel 0351  =  indiv. Zwischenstufe =&gt;","   Schlüssel 0352  =  indiv. Endstufe =&gt;")</f>
        <v>  Schlüssel 0351  =  indiv. Zwischenstufe =&gt;</v>
      </c>
      <c r="P108" s="20"/>
      <c r="Q108" s="20"/>
      <c r="R108" s="20"/>
      <c r="S108" s="20"/>
      <c r="T108" s="20"/>
      <c r="U108" s="20"/>
    </row>
    <row r="109" spans="1:21" ht="13.5" customHeight="1">
      <c r="A109" s="19"/>
      <c r="B109" s="20"/>
      <c r="C109" s="20"/>
      <c r="D109" s="20"/>
      <c r="E109" s="20"/>
      <c r="F109" s="20"/>
      <c r="G109" s="20"/>
      <c r="H109" s="20"/>
      <c r="I109" s="20" t="s">
        <v>63</v>
      </c>
      <c r="J109" s="20"/>
      <c r="K109" s="46"/>
      <c r="L109" s="20"/>
      <c r="M109" s="34" t="s">
        <v>75</v>
      </c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19"/>
      <c r="B110" s="20"/>
      <c r="C110" s="20"/>
      <c r="D110" s="20" t="str">
        <f>IF($K$28&gt;0,"  Schlüssel 0354  = Vergütungsgruppenzulage =&gt;",0)</f>
        <v>  Schlüssel 0354  = Vergütungsgruppenzulage =&gt;</v>
      </c>
      <c r="E110" s="20"/>
      <c r="F110" s="20"/>
      <c r="G110" s="20"/>
      <c r="H110" s="20"/>
      <c r="I110" s="20"/>
      <c r="J110" s="20"/>
      <c r="K110" s="84">
        <f>IF($K$28&gt;0,I28,0)</f>
        <v>88.0493023255814</v>
      </c>
      <c r="L110" s="20"/>
      <c r="M110" s="33" t="s">
        <v>81</v>
      </c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19"/>
      <c r="B111" s="20"/>
      <c r="C111" s="20"/>
      <c r="D111" s="20"/>
      <c r="E111" s="20"/>
      <c r="F111" s="20"/>
      <c r="G111" s="20"/>
      <c r="H111" s="20"/>
      <c r="I111" s="20" t="s">
        <v>63</v>
      </c>
      <c r="J111" s="20"/>
      <c r="K111" s="29" t="str">
        <f>IF($K$28&gt;0,"31.10.2009",0)</f>
        <v>31.10.2009</v>
      </c>
      <c r="L111" s="20"/>
      <c r="M111" s="33" t="s">
        <v>81</v>
      </c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 t="s">
        <v>221</v>
      </c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 t="s">
        <v>16</v>
      </c>
      <c r="B117" s="20"/>
      <c r="C117" s="20" t="s">
        <v>41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 t="s">
        <v>42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 t="s">
        <v>222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 t="s">
        <v>43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 t="s">
        <v>44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 t="s">
        <v>45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 t="s">
        <v>223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 t="s">
        <v>16</v>
      </c>
      <c r="B126" s="20"/>
      <c r="C126" s="20" t="s">
        <v>46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 t="s">
        <v>42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 t="s">
        <v>222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 t="s">
        <v>43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 t="s">
        <v>47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 t="s">
        <v>48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1" width="5.6640625" style="1" customWidth="1"/>
    <col min="2" max="2" width="9.6640625" style="1" customWidth="1"/>
    <col min="3" max="4" width="6.6640625" style="1" customWidth="1"/>
    <col min="5" max="16384" width="9.6640625" style="1" customWidth="1"/>
  </cols>
  <sheetData>
    <row r="1" spans="1:10" ht="18">
      <c r="A1" s="2" t="s">
        <v>93</v>
      </c>
      <c r="B1" s="2"/>
      <c r="C1" s="2"/>
      <c r="D1" s="2"/>
      <c r="E1" s="2"/>
      <c r="F1" s="2"/>
      <c r="G1" s="2"/>
      <c r="H1" s="2"/>
      <c r="I1" s="2"/>
      <c r="J1" s="2"/>
    </row>
    <row r="2" spans="1:10" ht="18">
      <c r="A2" s="2" t="s">
        <v>94</v>
      </c>
      <c r="B2" s="2"/>
      <c r="C2" s="2"/>
      <c r="D2" s="2"/>
      <c r="E2" s="2"/>
      <c r="F2" s="2"/>
      <c r="G2" s="2"/>
      <c r="H2" s="2"/>
      <c r="I2" s="2"/>
      <c r="J2" s="2"/>
    </row>
    <row r="3" spans="1:10" ht="18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2" t="s">
        <v>95</v>
      </c>
      <c r="B4" s="2"/>
      <c r="C4" s="2"/>
      <c r="D4" s="2"/>
      <c r="E4" s="2"/>
      <c r="F4" s="2"/>
      <c r="G4" s="2"/>
      <c r="H4" s="2"/>
      <c r="I4" s="2"/>
      <c r="J4" s="2"/>
    </row>
    <row r="5" ht="13.5" customHeight="1"/>
    <row r="6" spans="1:21" ht="13.5" customHeight="1">
      <c r="A6" s="63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0" t="s">
        <v>97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20" t="s">
        <v>98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20" t="s">
        <v>99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20" t="s">
        <v>100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0" t="s">
        <v>101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63" t="s">
        <v>14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72" t="s">
        <v>102</v>
      </c>
      <c r="B16" s="40" t="s">
        <v>112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20"/>
      <c r="B17" s="20" t="s">
        <v>113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0" t="s">
        <v>103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20">
        <v>5560</v>
      </c>
      <c r="B19" s="20"/>
      <c r="C19" s="20"/>
      <c r="D19" s="20"/>
      <c r="E19" s="20" t="s">
        <v>130</v>
      </c>
      <c r="F19" s="20"/>
      <c r="G19" s="20"/>
      <c r="H19" s="20" t="s">
        <v>131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0"/>
      <c r="B20" s="73" t="s">
        <v>114</v>
      </c>
      <c r="C20" s="20"/>
      <c r="D20" s="20" t="s">
        <v>2</v>
      </c>
      <c r="E20" s="40" t="s">
        <v>225</v>
      </c>
      <c r="F20" s="24"/>
      <c r="G20" s="20"/>
      <c r="H20" s="24" t="s">
        <v>226</v>
      </c>
      <c r="I20" s="24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0"/>
      <c r="B21" s="73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63" t="s">
        <v>104</v>
      </c>
      <c r="B27" s="20" t="s">
        <v>115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20"/>
      <c r="B28" s="20" t="s">
        <v>116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20"/>
      <c r="B29" s="20" t="s">
        <v>117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 customHeight="1">
      <c r="A30" s="20" t="s">
        <v>103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20">
        <v>5570</v>
      </c>
      <c r="B31" s="73" t="s">
        <v>114</v>
      </c>
      <c r="C31" s="20" t="s">
        <v>127</v>
      </c>
      <c r="D31" s="20" t="s">
        <v>129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20"/>
      <c r="B32" s="20"/>
      <c r="C32" s="20" t="s">
        <v>128</v>
      </c>
      <c r="D32" s="20" t="s">
        <v>2</v>
      </c>
      <c r="E32" s="20" t="s">
        <v>227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63" t="s">
        <v>105</v>
      </c>
      <c r="B35" s="20" t="s">
        <v>118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20"/>
      <c r="B36" s="20" t="s">
        <v>119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20" t="s">
        <v>103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20">
        <v>5580</v>
      </c>
      <c r="B38" s="73" t="s">
        <v>114</v>
      </c>
      <c r="C38" s="20" t="s">
        <v>127</v>
      </c>
      <c r="D38" s="20" t="s">
        <v>129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63" t="s">
        <v>106</v>
      </c>
      <c r="B41" s="20" t="s">
        <v>120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0"/>
      <c r="B42" s="20" t="s">
        <v>121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0" t="s">
        <v>103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0">
        <v>5590</v>
      </c>
      <c r="B44" s="73" t="s">
        <v>114</v>
      </c>
      <c r="C44" s="20" t="s">
        <v>127</v>
      </c>
      <c r="D44" s="20" t="s">
        <v>129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63" t="s">
        <v>107</v>
      </c>
      <c r="B47" s="20" t="s">
        <v>122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0"/>
      <c r="B48" s="20" t="s">
        <v>123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0"/>
      <c r="B49" s="20" t="s">
        <v>124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 t="s">
        <v>125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 t="s">
        <v>103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 t="s">
        <v>108</v>
      </c>
      <c r="B52" s="73" t="s">
        <v>114</v>
      </c>
      <c r="C52" s="20" t="s">
        <v>127</v>
      </c>
      <c r="D52" s="20" t="s">
        <v>2</v>
      </c>
      <c r="E52" s="20" t="s">
        <v>228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 t="s">
        <v>128</v>
      </c>
      <c r="D53" s="20" t="s">
        <v>2</v>
      </c>
      <c r="E53" s="20" t="s">
        <v>229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63" t="s">
        <v>109</v>
      </c>
      <c r="B56" s="20" t="s">
        <v>122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 t="s">
        <v>126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 t="s">
        <v>103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 t="s">
        <v>110</v>
      </c>
      <c r="B59" s="73" t="s">
        <v>114</v>
      </c>
      <c r="C59" s="20" t="s">
        <v>127</v>
      </c>
      <c r="D59" s="20" t="s">
        <v>2</v>
      </c>
      <c r="E59" s="20" t="s">
        <v>230</v>
      </c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 t="s">
        <v>111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1" width="8.6640625" style="1" customWidth="1"/>
    <col min="2" max="2" width="9.6640625" style="1" customWidth="1"/>
    <col min="3" max="5" width="6.6640625" style="1" customWidth="1"/>
    <col min="6" max="6" width="9.6640625" style="1" customWidth="1"/>
    <col min="7" max="7" width="1.66796875" style="1" customWidth="1"/>
    <col min="8" max="8" width="4.6640625" style="1" customWidth="1"/>
    <col min="9" max="14" width="9.6640625" style="1" customWidth="1"/>
    <col min="15" max="15" width="6.6640625" style="1" customWidth="1"/>
    <col min="16" max="16" width="8.6640625" style="1" customWidth="1"/>
    <col min="17" max="16384" width="9.6640625" style="1" customWidth="1"/>
  </cols>
  <sheetData>
    <row r="1" spans="1:13" ht="18">
      <c r="A1" s="2" t="s">
        <v>93</v>
      </c>
      <c r="B1" s="2"/>
      <c r="C1" s="2"/>
      <c r="D1" s="2"/>
      <c r="E1" s="7"/>
      <c r="F1" s="7"/>
      <c r="G1" s="7"/>
      <c r="H1" s="7"/>
      <c r="I1" s="7"/>
      <c r="J1" s="7"/>
      <c r="M1" s="1" t="s">
        <v>181</v>
      </c>
    </row>
    <row r="2" spans="1:10" ht="18">
      <c r="A2" s="2" t="s">
        <v>94</v>
      </c>
      <c r="B2" s="2"/>
      <c r="C2" s="2"/>
      <c r="D2" s="2"/>
      <c r="E2" s="7"/>
      <c r="F2" s="7"/>
      <c r="G2" s="7"/>
      <c r="H2" s="7"/>
      <c r="I2" s="7"/>
      <c r="J2" s="7"/>
    </row>
    <row r="3" spans="1:18" ht="18">
      <c r="A3" s="2"/>
      <c r="B3" s="2"/>
      <c r="C3" s="2"/>
      <c r="D3" s="2"/>
      <c r="E3" s="7"/>
      <c r="F3" s="7"/>
      <c r="G3" s="7"/>
      <c r="H3" s="7"/>
      <c r="I3" s="7"/>
      <c r="J3" s="7"/>
      <c r="M3" s="13" t="s">
        <v>182</v>
      </c>
      <c r="N3" s="14"/>
      <c r="O3" s="5"/>
      <c r="P3" s="4">
        <v>9</v>
      </c>
      <c r="Q3" s="14"/>
      <c r="R3" s="14"/>
    </row>
    <row r="4" spans="1:16" ht="13.5" customHeight="1">
      <c r="A4" s="2" t="s">
        <v>95</v>
      </c>
      <c r="B4" s="2"/>
      <c r="C4" s="2"/>
      <c r="D4" s="2"/>
      <c r="E4" s="7"/>
      <c r="F4" s="7"/>
      <c r="G4" s="7"/>
      <c r="H4" s="7"/>
      <c r="I4" s="7"/>
      <c r="J4" s="7"/>
      <c r="M4" s="1" t="s">
        <v>183</v>
      </c>
      <c r="P4" s="4">
        <v>1</v>
      </c>
    </row>
    <row r="5" spans="1:10" ht="13.5" customHeigh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21" ht="13.5" customHeight="1">
      <c r="A6" s="65" t="s">
        <v>132</v>
      </c>
      <c r="B6" s="22"/>
      <c r="C6" s="22"/>
      <c r="D6" s="22"/>
      <c r="E6" s="22"/>
      <c r="F6" s="22"/>
      <c r="G6" s="22"/>
      <c r="H6" s="22"/>
      <c r="I6" s="22"/>
      <c r="J6" s="22"/>
      <c r="K6" s="20"/>
      <c r="L6" s="20"/>
      <c r="M6" s="20" t="s">
        <v>184</v>
      </c>
      <c r="N6" s="20"/>
      <c r="O6" s="20"/>
      <c r="P6" s="21">
        <f>VLOOKUP(P3,N12:P31,(P4)+1)</f>
        <v>4</v>
      </c>
      <c r="Q6" s="64"/>
      <c r="R6" s="20"/>
      <c r="S6" s="20"/>
      <c r="T6" s="20"/>
      <c r="U6" s="20"/>
    </row>
    <row r="7" spans="1:2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63" t="s">
        <v>133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 t="s">
        <v>185</v>
      </c>
      <c r="O9" s="48" t="s">
        <v>187</v>
      </c>
      <c r="P9" s="20"/>
      <c r="Q9" s="20"/>
      <c r="R9" s="20"/>
      <c r="S9" s="20"/>
      <c r="T9" s="20"/>
      <c r="U9" s="20"/>
    </row>
    <row r="10" spans="1:21" ht="13.5" customHeight="1">
      <c r="A10" s="20" t="s">
        <v>134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 t="s">
        <v>186</v>
      </c>
      <c r="O10" s="48">
        <v>1</v>
      </c>
      <c r="P10" s="21"/>
      <c r="Q10" s="20"/>
      <c r="R10" s="20"/>
      <c r="S10" s="20"/>
      <c r="T10" s="20"/>
      <c r="U10" s="20"/>
    </row>
    <row r="11" spans="1:21" ht="13.5" customHeight="1">
      <c r="A11" s="20" t="s">
        <v>135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62"/>
      <c r="P11" s="24"/>
      <c r="Q11" s="20"/>
      <c r="R11" s="20"/>
      <c r="S11" s="20"/>
      <c r="T11" s="20"/>
      <c r="U11" s="20"/>
    </row>
    <row r="12" spans="1:21" ht="13.5" customHeight="1">
      <c r="A12" s="20" t="s">
        <v>136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66" t="s">
        <v>141</v>
      </c>
      <c r="N12" s="21">
        <v>1</v>
      </c>
      <c r="O12" s="21">
        <v>1</v>
      </c>
      <c r="P12" s="21"/>
      <c r="Q12" s="21"/>
      <c r="R12" s="51"/>
      <c r="S12" s="51"/>
      <c r="T12" s="20"/>
      <c r="U12" s="20"/>
    </row>
    <row r="13" spans="1:21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66" t="s">
        <v>142</v>
      </c>
      <c r="N13" s="21">
        <v>2</v>
      </c>
      <c r="O13" s="21">
        <v>2</v>
      </c>
      <c r="P13" s="21"/>
      <c r="Q13" s="21"/>
      <c r="R13" s="51"/>
      <c r="S13" s="51"/>
      <c r="T13" s="20"/>
      <c r="U13" s="20"/>
    </row>
    <row r="14" spans="1:21" ht="13.5" customHeight="1">
      <c r="A14" s="20" t="s">
        <v>137</v>
      </c>
      <c r="B14" s="20"/>
      <c r="C14" s="22" t="s">
        <v>162</v>
      </c>
      <c r="D14" s="22"/>
      <c r="E14" s="22"/>
      <c r="F14" s="22"/>
      <c r="G14" s="22"/>
      <c r="H14" s="22"/>
      <c r="I14" s="22"/>
      <c r="J14" s="22"/>
      <c r="K14" s="20"/>
      <c r="L14" s="20"/>
      <c r="M14" s="66" t="s">
        <v>143</v>
      </c>
      <c r="N14" s="21">
        <v>3</v>
      </c>
      <c r="O14" s="21">
        <v>2</v>
      </c>
      <c r="P14" s="21"/>
      <c r="Q14" s="21"/>
      <c r="R14" s="51"/>
      <c r="S14" s="51"/>
      <c r="T14" s="20"/>
      <c r="U14" s="20"/>
    </row>
    <row r="15" spans="1:21" ht="13.5" customHeight="1">
      <c r="A15" s="20"/>
      <c r="B15" s="20"/>
      <c r="C15" s="22"/>
      <c r="D15" s="22" t="s">
        <v>168</v>
      </c>
      <c r="E15" s="22"/>
      <c r="F15" s="20" t="s">
        <v>176</v>
      </c>
      <c r="G15" s="20"/>
      <c r="H15" s="67"/>
      <c r="I15" s="20"/>
      <c r="J15" s="20" t="s">
        <v>176</v>
      </c>
      <c r="K15" s="20"/>
      <c r="L15" s="20"/>
      <c r="M15" s="66" t="s">
        <v>144</v>
      </c>
      <c r="N15" s="21">
        <v>4</v>
      </c>
      <c r="O15" s="21">
        <v>2</v>
      </c>
      <c r="P15" s="21"/>
      <c r="Q15" s="21"/>
      <c r="R15" s="51"/>
      <c r="S15" s="51"/>
      <c r="T15" s="20"/>
      <c r="U15" s="20"/>
    </row>
    <row r="16" spans="1:21" ht="13.5" customHeight="1">
      <c r="A16" s="20"/>
      <c r="B16" s="20"/>
      <c r="C16" s="20"/>
      <c r="D16" s="18" t="s">
        <v>169</v>
      </c>
      <c r="E16" s="22"/>
      <c r="F16" s="20" t="s">
        <v>177</v>
      </c>
      <c r="G16" s="20"/>
      <c r="H16" s="68" t="s">
        <v>178</v>
      </c>
      <c r="I16" s="69"/>
      <c r="J16" s="20" t="s">
        <v>177</v>
      </c>
      <c r="K16" s="20"/>
      <c r="L16" s="20"/>
      <c r="M16" s="66" t="s">
        <v>145</v>
      </c>
      <c r="N16" s="21">
        <v>5</v>
      </c>
      <c r="O16" s="21">
        <v>3</v>
      </c>
      <c r="P16" s="21"/>
      <c r="Q16" s="21"/>
      <c r="R16" s="51"/>
      <c r="S16" s="51"/>
      <c r="T16" s="20"/>
      <c r="U16" s="20"/>
    </row>
    <row r="17" spans="1:21" ht="13.5" customHeight="1">
      <c r="A17" s="20"/>
      <c r="B17" s="20"/>
      <c r="C17" s="24" t="s">
        <v>163</v>
      </c>
      <c r="D17" s="24">
        <v>1</v>
      </c>
      <c r="E17" s="24" t="s">
        <v>174</v>
      </c>
      <c r="F17" s="25">
        <v>1</v>
      </c>
      <c r="G17" s="24"/>
      <c r="H17" s="70">
        <v>1</v>
      </c>
      <c r="I17" s="24" t="s">
        <v>174</v>
      </c>
      <c r="J17" s="25">
        <v>1</v>
      </c>
      <c r="K17" s="20"/>
      <c r="L17" s="20"/>
      <c r="M17" s="66" t="s">
        <v>146</v>
      </c>
      <c r="N17" s="21">
        <v>6</v>
      </c>
      <c r="O17" s="21">
        <v>3</v>
      </c>
      <c r="P17" s="21"/>
      <c r="Q17" s="21"/>
      <c r="R17" s="51"/>
      <c r="S17" s="51"/>
      <c r="T17" s="20"/>
      <c r="U17" s="20"/>
    </row>
    <row r="18" spans="1:21" ht="13.5" customHeight="1">
      <c r="A18" s="20"/>
      <c r="B18" s="20"/>
      <c r="C18" s="20" t="s">
        <v>164</v>
      </c>
      <c r="D18" s="20">
        <v>3</v>
      </c>
      <c r="E18" s="20" t="s">
        <v>61</v>
      </c>
      <c r="F18" s="21">
        <v>4</v>
      </c>
      <c r="G18" s="20"/>
      <c r="H18" s="71">
        <v>3</v>
      </c>
      <c r="I18" s="20" t="s">
        <v>61</v>
      </c>
      <c r="J18" s="21">
        <v>4</v>
      </c>
      <c r="K18" s="20"/>
      <c r="L18" s="20"/>
      <c r="M18" s="66" t="s">
        <v>147</v>
      </c>
      <c r="N18" s="21">
        <v>7</v>
      </c>
      <c r="O18" s="21">
        <v>3</v>
      </c>
      <c r="P18" s="21"/>
      <c r="Q18" s="21"/>
      <c r="R18" s="51"/>
      <c r="S18" s="51"/>
      <c r="T18" s="20"/>
      <c r="U18" s="20"/>
    </row>
    <row r="19" spans="1:21" ht="13.5" customHeight="1">
      <c r="A19" s="20"/>
      <c r="B19" s="20"/>
      <c r="C19" s="20" t="s">
        <v>165</v>
      </c>
      <c r="D19" s="20">
        <v>4</v>
      </c>
      <c r="E19" s="20" t="s">
        <v>61</v>
      </c>
      <c r="F19" s="21">
        <v>8</v>
      </c>
      <c r="G19" s="20"/>
      <c r="H19" s="71">
        <v>4</v>
      </c>
      <c r="I19" s="20" t="s">
        <v>61</v>
      </c>
      <c r="J19" s="21">
        <v>8</v>
      </c>
      <c r="K19" s="20"/>
      <c r="L19" s="20"/>
      <c r="M19" s="66" t="s">
        <v>148</v>
      </c>
      <c r="N19" s="21">
        <v>8</v>
      </c>
      <c r="O19" s="21">
        <v>3</v>
      </c>
      <c r="P19" s="21"/>
      <c r="Q19" s="21"/>
      <c r="R19" s="51"/>
      <c r="S19" s="51"/>
      <c r="T19" s="20"/>
      <c r="U19" s="20"/>
    </row>
    <row r="20" spans="1:21" ht="13.5" customHeight="1">
      <c r="A20" s="20"/>
      <c r="B20" s="20"/>
      <c r="C20" s="20" t="s">
        <v>166</v>
      </c>
      <c r="D20" s="20">
        <v>4</v>
      </c>
      <c r="E20" s="20" t="s">
        <v>61</v>
      </c>
      <c r="F20" s="21">
        <v>12</v>
      </c>
      <c r="G20" s="20"/>
      <c r="H20" s="71">
        <v>8</v>
      </c>
      <c r="I20" s="20" t="s">
        <v>61</v>
      </c>
      <c r="J20" s="21">
        <v>16</v>
      </c>
      <c r="K20" s="20"/>
      <c r="L20" s="20"/>
      <c r="M20" s="66" t="s">
        <v>149</v>
      </c>
      <c r="N20" s="21">
        <v>9</v>
      </c>
      <c r="O20" s="21">
        <v>4</v>
      </c>
      <c r="P20" s="21"/>
      <c r="Q20" s="21"/>
      <c r="R20" s="51"/>
      <c r="S20" s="51"/>
      <c r="T20" s="20"/>
      <c r="U20" s="20"/>
    </row>
    <row r="21" spans="1:21" ht="13.5" customHeight="1">
      <c r="A21" s="20"/>
      <c r="B21" s="20"/>
      <c r="C21" s="20" t="s">
        <v>167</v>
      </c>
      <c r="D21" s="20">
        <v>5</v>
      </c>
      <c r="E21" s="20" t="s">
        <v>61</v>
      </c>
      <c r="F21" s="21">
        <v>17</v>
      </c>
      <c r="G21" s="20"/>
      <c r="H21" s="71">
        <v>10</v>
      </c>
      <c r="I21" s="20" t="s">
        <v>61</v>
      </c>
      <c r="J21" s="21">
        <v>26</v>
      </c>
      <c r="K21" s="20"/>
      <c r="L21" s="20"/>
      <c r="M21" s="66" t="s">
        <v>150</v>
      </c>
      <c r="N21" s="21">
        <v>10</v>
      </c>
      <c r="O21" s="21">
        <v>4</v>
      </c>
      <c r="P21" s="21"/>
      <c r="Q21" s="21"/>
      <c r="R21" s="51"/>
      <c r="S21" s="51"/>
      <c r="T21" s="20"/>
      <c r="U21" s="20"/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66" t="s">
        <v>151</v>
      </c>
      <c r="N22" s="21">
        <v>11</v>
      </c>
      <c r="O22" s="21">
        <v>4</v>
      </c>
      <c r="P22" s="21"/>
      <c r="Q22" s="21"/>
      <c r="R22" s="51"/>
      <c r="S22" s="51"/>
      <c r="T22" s="20"/>
      <c r="U22" s="20"/>
    </row>
    <row r="23" spans="1:21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66" t="s">
        <v>152</v>
      </c>
      <c r="N23" s="21">
        <v>12</v>
      </c>
      <c r="O23" s="21">
        <v>4</v>
      </c>
      <c r="P23" s="21"/>
      <c r="Q23" s="21"/>
      <c r="R23" s="51"/>
      <c r="S23" s="51"/>
      <c r="T23" s="20"/>
      <c r="U23" s="20"/>
    </row>
    <row r="24" spans="1:21" ht="13.5" customHeight="1">
      <c r="A24" s="63" t="s">
        <v>138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66" t="s">
        <v>153</v>
      </c>
      <c r="N24" s="21">
        <v>13</v>
      </c>
      <c r="O24" s="21">
        <v>5</v>
      </c>
      <c r="P24" s="21"/>
      <c r="Q24" s="21"/>
      <c r="R24" s="51"/>
      <c r="S24" s="51"/>
      <c r="T24" s="20"/>
      <c r="U24" s="20"/>
    </row>
    <row r="25" spans="1:21" ht="13.5" customHeight="1">
      <c r="A25" s="20"/>
      <c r="B25" s="20"/>
      <c r="C25" s="20"/>
      <c r="D25" s="22" t="s">
        <v>170</v>
      </c>
      <c r="E25" s="22"/>
      <c r="F25" s="20"/>
      <c r="G25" s="20"/>
      <c r="H25" s="71"/>
      <c r="I25" s="22" t="s">
        <v>179</v>
      </c>
      <c r="J25" s="22"/>
      <c r="K25" s="20"/>
      <c r="L25" s="20"/>
      <c r="M25" s="66" t="s">
        <v>154</v>
      </c>
      <c r="N25" s="21">
        <v>14</v>
      </c>
      <c r="O25" s="21">
        <v>5</v>
      </c>
      <c r="P25" s="21"/>
      <c r="Q25" s="21"/>
      <c r="R25" s="51"/>
      <c r="S25" s="51"/>
      <c r="T25" s="20"/>
      <c r="U25" s="20"/>
    </row>
    <row r="26" spans="1:21" ht="13.5" customHeight="1">
      <c r="A26" s="20" t="s">
        <v>139</v>
      </c>
      <c r="B26" s="20"/>
      <c r="C26" s="20"/>
      <c r="D26" s="25" t="s">
        <v>171</v>
      </c>
      <c r="E26" s="25" t="s">
        <v>61</v>
      </c>
      <c r="F26" s="21"/>
      <c r="G26" s="20"/>
      <c r="H26" s="67"/>
      <c r="I26" s="25" t="s">
        <v>180</v>
      </c>
      <c r="J26" s="25" t="s">
        <v>61</v>
      </c>
      <c r="K26" s="20"/>
      <c r="L26" s="20"/>
      <c r="M26" s="66" t="s">
        <v>155</v>
      </c>
      <c r="N26" s="21">
        <v>15</v>
      </c>
      <c r="O26" s="21">
        <v>5</v>
      </c>
      <c r="P26" s="21"/>
      <c r="Q26" s="21"/>
      <c r="R26" s="51"/>
      <c r="S26" s="51"/>
      <c r="T26" s="20"/>
      <c r="U26" s="20"/>
    </row>
    <row r="27" spans="1:21" ht="13.5" customHeight="1">
      <c r="A27" s="20" t="s">
        <v>140</v>
      </c>
      <c r="B27" s="66"/>
      <c r="C27" s="20"/>
      <c r="D27" s="21" t="s">
        <v>172</v>
      </c>
      <c r="E27" s="21" t="s">
        <v>175</v>
      </c>
      <c r="F27" s="21"/>
      <c r="G27" s="20"/>
      <c r="H27" s="67"/>
      <c r="I27" s="21" t="s">
        <v>172</v>
      </c>
      <c r="J27" s="21" t="s">
        <v>175</v>
      </c>
      <c r="K27" s="20"/>
      <c r="L27" s="20"/>
      <c r="M27" s="66" t="s">
        <v>156</v>
      </c>
      <c r="N27" s="21">
        <v>16</v>
      </c>
      <c r="O27" s="21">
        <v>5</v>
      </c>
      <c r="P27" s="21"/>
      <c r="Q27" s="21"/>
      <c r="R27" s="20"/>
      <c r="S27" s="20"/>
      <c r="T27" s="20"/>
      <c r="U27" s="20"/>
    </row>
    <row r="28" spans="1:21" ht="13.5" customHeight="1">
      <c r="A28" s="20"/>
      <c r="B28" s="20" t="s">
        <v>160</v>
      </c>
      <c r="C28" s="20"/>
      <c r="D28" s="21" t="s">
        <v>173</v>
      </c>
      <c r="E28" s="21" t="s">
        <v>55</v>
      </c>
      <c r="F28" s="21"/>
      <c r="G28" s="20"/>
      <c r="H28" s="71"/>
      <c r="I28" s="21" t="s">
        <v>173</v>
      </c>
      <c r="J28" s="21" t="s">
        <v>55</v>
      </c>
      <c r="K28" s="20"/>
      <c r="L28" s="20"/>
      <c r="M28" s="66" t="s">
        <v>157</v>
      </c>
      <c r="N28" s="21">
        <v>17</v>
      </c>
      <c r="O28" s="21">
        <v>5</v>
      </c>
      <c r="P28" s="21"/>
      <c r="Q28" s="21"/>
      <c r="R28" s="20"/>
      <c r="S28" s="20"/>
      <c r="T28" s="20"/>
      <c r="U28" s="20"/>
    </row>
    <row r="29" spans="1:21" ht="13.5" customHeight="1">
      <c r="A29" s="20"/>
      <c r="B29" s="20" t="s">
        <v>161</v>
      </c>
      <c r="C29" s="20"/>
      <c r="D29" s="21"/>
      <c r="E29" s="20"/>
      <c r="F29" s="21"/>
      <c r="G29" s="20"/>
      <c r="H29" s="71"/>
      <c r="I29" s="21"/>
      <c r="J29" s="20"/>
      <c r="K29" s="20"/>
      <c r="L29" s="20"/>
      <c r="M29" s="66" t="s">
        <v>158</v>
      </c>
      <c r="N29" s="21">
        <v>18</v>
      </c>
      <c r="O29" s="21">
        <v>6</v>
      </c>
      <c r="P29" s="21"/>
      <c r="Q29" s="21"/>
      <c r="R29" s="20"/>
      <c r="S29" s="20"/>
      <c r="T29" s="20"/>
      <c r="U29" s="20"/>
    </row>
    <row r="30" spans="1:21" ht="13.5" customHeight="1">
      <c r="A30" s="24"/>
      <c r="B30" s="24"/>
      <c r="C30" s="24"/>
      <c r="D30" s="25"/>
      <c r="E30" s="24"/>
      <c r="F30" s="25"/>
      <c r="G30" s="20"/>
      <c r="H30" s="71"/>
      <c r="I30" s="25"/>
      <c r="J30" s="24"/>
      <c r="K30" s="20"/>
      <c r="L30" s="20"/>
      <c r="M30" s="66" t="s">
        <v>159</v>
      </c>
      <c r="N30" s="21">
        <v>19</v>
      </c>
      <c r="O30" s="21">
        <v>6</v>
      </c>
      <c r="P30" s="21"/>
      <c r="Q30" s="21"/>
      <c r="R30" s="20"/>
      <c r="S30" s="20"/>
      <c r="T30" s="20"/>
      <c r="U30" s="20"/>
    </row>
    <row r="31" spans="1:21" ht="13.5" customHeight="1">
      <c r="A31" s="66" t="s">
        <v>141</v>
      </c>
      <c r="B31" s="21">
        <v>1</v>
      </c>
      <c r="C31" s="20"/>
      <c r="D31" s="21">
        <v>1</v>
      </c>
      <c r="E31" s="21">
        <v>1</v>
      </c>
      <c r="F31" s="21"/>
      <c r="G31" s="20"/>
      <c r="H31" s="71"/>
      <c r="I31" s="21">
        <v>1</v>
      </c>
      <c r="J31" s="21">
        <v>1</v>
      </c>
      <c r="K31" s="20"/>
      <c r="L31" s="20"/>
      <c r="M31" s="20"/>
      <c r="N31" s="20"/>
      <c r="O31" s="21"/>
      <c r="P31" s="21"/>
      <c r="Q31" s="21"/>
      <c r="R31" s="20"/>
      <c r="S31" s="20"/>
      <c r="T31" s="20"/>
      <c r="U31" s="20"/>
    </row>
    <row r="32" spans="1:21" ht="13.5" customHeight="1">
      <c r="A32" s="66" t="s">
        <v>142</v>
      </c>
      <c r="B32" s="21">
        <v>2</v>
      </c>
      <c r="C32" s="20"/>
      <c r="D32" s="21">
        <v>2</v>
      </c>
      <c r="E32" s="21">
        <v>1</v>
      </c>
      <c r="F32" s="21"/>
      <c r="G32" s="20"/>
      <c r="H32" s="71"/>
      <c r="I32" s="21">
        <v>2</v>
      </c>
      <c r="J32" s="21">
        <v>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66" t="s">
        <v>143</v>
      </c>
      <c r="B33" s="21">
        <v>3</v>
      </c>
      <c r="C33" s="20"/>
      <c r="D33" s="21">
        <v>2</v>
      </c>
      <c r="E33" s="21">
        <v>2</v>
      </c>
      <c r="F33" s="21"/>
      <c r="G33" s="20"/>
      <c r="H33" s="71"/>
      <c r="I33" s="21">
        <v>2</v>
      </c>
      <c r="J33" s="21">
        <v>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66" t="s">
        <v>144</v>
      </c>
      <c r="B34" s="21">
        <v>4</v>
      </c>
      <c r="C34" s="20"/>
      <c r="D34" s="21">
        <v>3</v>
      </c>
      <c r="E34" s="21">
        <v>1</v>
      </c>
      <c r="F34" s="21"/>
      <c r="G34" s="20"/>
      <c r="H34" s="71"/>
      <c r="I34" s="21">
        <v>2</v>
      </c>
      <c r="J34" s="21">
        <v>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66" t="s">
        <v>145</v>
      </c>
      <c r="B35" s="21">
        <v>5</v>
      </c>
      <c r="C35" s="20"/>
      <c r="D35" s="21">
        <v>3</v>
      </c>
      <c r="E35" s="21">
        <v>2</v>
      </c>
      <c r="F35" s="21"/>
      <c r="G35" s="20"/>
      <c r="H35" s="71"/>
      <c r="I35" s="21">
        <v>3</v>
      </c>
      <c r="J35" s="21">
        <v>1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66" t="s">
        <v>146</v>
      </c>
      <c r="B36" s="21">
        <v>6</v>
      </c>
      <c r="C36" s="20"/>
      <c r="D36" s="21">
        <v>3</v>
      </c>
      <c r="E36" s="21">
        <v>3</v>
      </c>
      <c r="F36" s="21"/>
      <c r="G36" s="20"/>
      <c r="H36" s="71"/>
      <c r="I36" s="21">
        <v>3</v>
      </c>
      <c r="J36" s="21">
        <v>2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66" t="s">
        <v>147</v>
      </c>
      <c r="B37" s="21">
        <v>7</v>
      </c>
      <c r="C37" s="20"/>
      <c r="D37" s="21">
        <v>4</v>
      </c>
      <c r="E37" s="21">
        <v>1</v>
      </c>
      <c r="F37" s="21"/>
      <c r="G37" s="20"/>
      <c r="H37" s="71"/>
      <c r="I37" s="21">
        <v>3</v>
      </c>
      <c r="J37" s="21">
        <v>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66" t="s">
        <v>148</v>
      </c>
      <c r="B38" s="21">
        <v>8</v>
      </c>
      <c r="C38" s="20"/>
      <c r="D38" s="21">
        <v>4</v>
      </c>
      <c r="E38" s="21">
        <v>2</v>
      </c>
      <c r="F38" s="21"/>
      <c r="G38" s="20"/>
      <c r="H38" s="71"/>
      <c r="I38" s="21">
        <v>3</v>
      </c>
      <c r="J38" s="21">
        <v>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66" t="s">
        <v>149</v>
      </c>
      <c r="B39" s="21">
        <v>9</v>
      </c>
      <c r="C39" s="20"/>
      <c r="D39" s="21">
        <v>4</v>
      </c>
      <c r="E39" s="21">
        <v>3</v>
      </c>
      <c r="F39" s="21"/>
      <c r="G39" s="20"/>
      <c r="H39" s="71"/>
      <c r="I39" s="21">
        <v>4</v>
      </c>
      <c r="J39" s="21">
        <v>1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66" t="s">
        <v>150</v>
      </c>
      <c r="B40" s="21">
        <v>10</v>
      </c>
      <c r="C40" s="20"/>
      <c r="D40" s="21">
        <v>4</v>
      </c>
      <c r="E40" s="21">
        <v>4</v>
      </c>
      <c r="F40" s="21"/>
      <c r="G40" s="20"/>
      <c r="H40" s="71"/>
      <c r="I40" s="21">
        <v>4</v>
      </c>
      <c r="J40" s="21">
        <v>2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66" t="s">
        <v>151</v>
      </c>
      <c r="B41" s="21">
        <v>11</v>
      </c>
      <c r="C41" s="20"/>
      <c r="D41" s="21">
        <v>5</v>
      </c>
      <c r="E41" s="21">
        <v>1</v>
      </c>
      <c r="F41" s="21"/>
      <c r="G41" s="20"/>
      <c r="H41" s="71"/>
      <c r="I41" s="21">
        <v>4</v>
      </c>
      <c r="J41" s="21">
        <v>3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66" t="s">
        <v>152</v>
      </c>
      <c r="B42" s="21">
        <v>12</v>
      </c>
      <c r="C42" s="20"/>
      <c r="D42" s="21">
        <v>5</v>
      </c>
      <c r="E42" s="21">
        <v>2</v>
      </c>
      <c r="F42" s="21"/>
      <c r="G42" s="20"/>
      <c r="H42" s="71"/>
      <c r="I42" s="21">
        <v>4</v>
      </c>
      <c r="J42" s="21">
        <v>4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66" t="s">
        <v>153</v>
      </c>
      <c r="B43" s="21">
        <v>13</v>
      </c>
      <c r="C43" s="20"/>
      <c r="D43" s="21">
        <v>5</v>
      </c>
      <c r="E43" s="21">
        <v>3</v>
      </c>
      <c r="F43" s="21"/>
      <c r="G43" s="20"/>
      <c r="H43" s="71"/>
      <c r="I43" s="21">
        <v>5</v>
      </c>
      <c r="J43" s="21">
        <v>1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66" t="s">
        <v>154</v>
      </c>
      <c r="B44" s="21">
        <v>14</v>
      </c>
      <c r="C44" s="20"/>
      <c r="D44" s="21">
        <v>5</v>
      </c>
      <c r="E44" s="21">
        <v>4</v>
      </c>
      <c r="F44" s="21"/>
      <c r="G44" s="20"/>
      <c r="H44" s="71"/>
      <c r="I44" s="21">
        <v>5</v>
      </c>
      <c r="J44" s="21">
        <v>2</v>
      </c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66" t="s">
        <v>155</v>
      </c>
      <c r="B45" s="21">
        <v>15</v>
      </c>
      <c r="C45" s="20"/>
      <c r="D45" s="21">
        <v>5</v>
      </c>
      <c r="E45" s="21">
        <v>5</v>
      </c>
      <c r="F45" s="21"/>
      <c r="G45" s="20"/>
      <c r="H45" s="71"/>
      <c r="I45" s="21">
        <v>5</v>
      </c>
      <c r="J45" s="21">
        <v>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66" t="s">
        <v>156</v>
      </c>
      <c r="B46" s="21">
        <v>16</v>
      </c>
      <c r="C46" s="20"/>
      <c r="D46" s="21">
        <v>6</v>
      </c>
      <c r="E46" s="21">
        <v>1</v>
      </c>
      <c r="F46" s="21"/>
      <c r="G46" s="20"/>
      <c r="H46" s="71"/>
      <c r="I46" s="21">
        <v>5</v>
      </c>
      <c r="J46" s="21">
        <v>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66" t="s">
        <v>157</v>
      </c>
      <c r="B47" s="21">
        <v>17</v>
      </c>
      <c r="C47" s="20"/>
      <c r="D47" s="21">
        <v>6</v>
      </c>
      <c r="E47" s="21">
        <v>2</v>
      </c>
      <c r="F47" s="21"/>
      <c r="G47" s="20"/>
      <c r="H47" s="71"/>
      <c r="I47" s="21">
        <v>5</v>
      </c>
      <c r="J47" s="21">
        <v>5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66" t="s">
        <v>158</v>
      </c>
      <c r="B48" s="21">
        <v>18</v>
      </c>
      <c r="C48" s="20"/>
      <c r="D48" s="21">
        <v>6</v>
      </c>
      <c r="E48" s="21">
        <v>3</v>
      </c>
      <c r="F48" s="21"/>
      <c r="G48" s="20"/>
      <c r="H48" s="71"/>
      <c r="I48" s="21">
        <v>6</v>
      </c>
      <c r="J48" s="21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66" t="s">
        <v>159</v>
      </c>
      <c r="B49" s="21">
        <v>19</v>
      </c>
      <c r="C49" s="20"/>
      <c r="D49" s="21">
        <v>6</v>
      </c>
      <c r="E49" s="21">
        <v>4</v>
      </c>
      <c r="F49" s="21"/>
      <c r="G49" s="20"/>
      <c r="H49" s="71"/>
      <c r="I49" s="21">
        <v>6</v>
      </c>
      <c r="J49" s="21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66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1" width="5.6640625" style="1" customWidth="1"/>
    <col min="2" max="2" width="9.6640625" style="1" customWidth="1"/>
    <col min="3" max="3" width="6.6640625" style="1" customWidth="1"/>
    <col min="4" max="16384" width="9.6640625" style="1" customWidth="1"/>
  </cols>
  <sheetData>
    <row r="1" spans="1:8" ht="18">
      <c r="A1" s="2" t="s">
        <v>93</v>
      </c>
      <c r="B1" s="2"/>
      <c r="C1" s="2"/>
      <c r="D1" s="2"/>
      <c r="E1" s="2"/>
      <c r="F1" s="2"/>
      <c r="G1" s="2"/>
      <c r="H1" s="2"/>
    </row>
    <row r="2" spans="1:8" ht="18">
      <c r="A2" s="2" t="s">
        <v>94</v>
      </c>
      <c r="B2" s="2"/>
      <c r="C2" s="2"/>
      <c r="D2" s="2"/>
      <c r="E2" s="2"/>
      <c r="F2" s="2"/>
      <c r="G2" s="2"/>
      <c r="H2" s="2"/>
    </row>
    <row r="3" spans="1:8" ht="18">
      <c r="A3" s="2"/>
      <c r="B3" s="2"/>
      <c r="C3" s="2"/>
      <c r="D3" s="2"/>
      <c r="E3" s="2"/>
      <c r="F3" s="2"/>
      <c r="G3" s="2"/>
      <c r="H3" s="2"/>
    </row>
    <row r="4" spans="1:8" ht="13.5" customHeight="1">
      <c r="A4" s="2" t="s">
        <v>95</v>
      </c>
      <c r="B4" s="2"/>
      <c r="C4" s="2"/>
      <c r="D4" s="2"/>
      <c r="E4" s="2"/>
      <c r="F4" s="2"/>
      <c r="G4" s="2"/>
      <c r="H4" s="2"/>
    </row>
    <row r="5" spans="1:8" ht="13.5" customHeight="1">
      <c r="A5" s="2"/>
      <c r="B5" s="2"/>
      <c r="C5" s="2"/>
      <c r="D5" s="2"/>
      <c r="E5" s="2"/>
      <c r="F5" s="2"/>
      <c r="G5" s="2"/>
      <c r="H5" s="2"/>
    </row>
    <row r="6" spans="1:21" ht="13.5" customHeight="1">
      <c r="A6" s="63" t="s">
        <v>96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20" t="s">
        <v>40</v>
      </c>
      <c r="B9" s="20"/>
      <c r="C9" s="20"/>
      <c r="D9" s="20" t="s">
        <v>191</v>
      </c>
      <c r="E9" s="20"/>
      <c r="F9" s="20" t="s">
        <v>192</v>
      </c>
      <c r="G9" s="20" t="s">
        <v>54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20"/>
      <c r="B10" s="20"/>
      <c r="C10" s="20"/>
      <c r="D10" s="20" t="s">
        <v>192</v>
      </c>
      <c r="E10" s="20"/>
      <c r="F10" s="20" t="s">
        <v>194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24"/>
      <c r="B11" s="24"/>
      <c r="C11" s="24"/>
      <c r="D11" s="24"/>
      <c r="E11" s="24"/>
      <c r="F11" s="24"/>
      <c r="G11" s="2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63" t="s">
        <v>188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20" t="s">
        <v>231</v>
      </c>
      <c r="B14" s="20"/>
      <c r="C14" s="20"/>
      <c r="D14" s="47" t="s">
        <v>193</v>
      </c>
      <c r="E14" s="47"/>
      <c r="F14" s="47"/>
      <c r="G14" s="47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20" t="s">
        <v>232</v>
      </c>
      <c r="B15" s="20"/>
      <c r="C15" s="20"/>
      <c r="D15" s="47">
        <v>1276.67</v>
      </c>
      <c r="E15" s="47"/>
      <c r="F15" s="47">
        <v>1411.28</v>
      </c>
      <c r="G15" s="47">
        <f>F15-D15</f>
        <v>134.6099999999999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20" t="s">
        <v>233</v>
      </c>
      <c r="B16" s="20"/>
      <c r="C16" s="20"/>
      <c r="D16" s="47" t="s">
        <v>193</v>
      </c>
      <c r="E16" s="47"/>
      <c r="F16" s="47"/>
      <c r="G16" s="47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20" t="s">
        <v>234</v>
      </c>
      <c r="B17" s="20"/>
      <c r="C17" s="20"/>
      <c r="D17" s="47">
        <v>2056.45</v>
      </c>
      <c r="E17" s="47"/>
      <c r="F17" s="47">
        <f>2423.38+5.63</f>
        <v>2429.01</v>
      </c>
      <c r="G17" s="47">
        <f>F17-D17</f>
        <v>372.5600000000004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0" t="s">
        <v>235</v>
      </c>
      <c r="B18" s="20"/>
      <c r="C18" s="20"/>
      <c r="D18" s="47" t="s">
        <v>193</v>
      </c>
      <c r="E18" s="47"/>
      <c r="F18" s="47"/>
      <c r="G18" s="4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20" t="s">
        <v>236</v>
      </c>
      <c r="B19" s="20"/>
      <c r="C19" s="20"/>
      <c r="D19" s="47">
        <v>1939.8</v>
      </c>
      <c r="E19" s="47"/>
      <c r="F19" s="47">
        <v>2000</v>
      </c>
      <c r="G19" s="47">
        <f>F19-D19</f>
        <v>60.200000000000045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0"/>
      <c r="B20" s="20"/>
      <c r="C20" s="20"/>
      <c r="D20" s="47"/>
      <c r="E20" s="47"/>
      <c r="F20" s="47"/>
      <c r="G20" s="47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0"/>
      <c r="B21" s="20"/>
      <c r="C21" s="20"/>
      <c r="D21" s="47"/>
      <c r="E21" s="47"/>
      <c r="F21" s="47"/>
      <c r="G21" s="47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20"/>
      <c r="C22" s="20"/>
      <c r="D22" s="47"/>
      <c r="E22" s="47"/>
      <c r="F22" s="47"/>
      <c r="G22" s="47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63" t="s">
        <v>189</v>
      </c>
      <c r="B23" s="20"/>
      <c r="C23" s="20"/>
      <c r="D23" s="47"/>
      <c r="E23" s="47"/>
      <c r="F23" s="47"/>
      <c r="G23" s="47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0"/>
      <c r="B24" s="20"/>
      <c r="C24" s="20"/>
      <c r="D24" s="47"/>
      <c r="E24" s="47"/>
      <c r="F24" s="47"/>
      <c r="G24" s="4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20" t="s">
        <v>237</v>
      </c>
      <c r="B25" s="20"/>
      <c r="C25" s="20"/>
      <c r="D25" s="47" t="s">
        <v>193</v>
      </c>
      <c r="E25" s="47"/>
      <c r="F25" s="47"/>
      <c r="G25" s="47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20" t="s">
        <v>238</v>
      </c>
      <c r="B26" s="20"/>
      <c r="C26" s="20"/>
      <c r="D26" s="47">
        <v>1232.84</v>
      </c>
      <c r="E26" s="47"/>
      <c r="F26" s="47">
        <v>1234.87</v>
      </c>
      <c r="G26" s="47">
        <f>F26-D26</f>
        <v>2.0299999999999727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20" t="s">
        <v>239</v>
      </c>
      <c r="B27" s="20"/>
      <c r="C27" s="20"/>
      <c r="D27" s="47" t="s">
        <v>193</v>
      </c>
      <c r="E27" s="47"/>
      <c r="F27" s="47"/>
      <c r="G27" s="47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20" t="s">
        <v>240</v>
      </c>
      <c r="B28" s="20"/>
      <c r="C28" s="20"/>
      <c r="D28" s="47" t="s">
        <v>193</v>
      </c>
      <c r="E28" s="47"/>
      <c r="F28" s="47"/>
      <c r="G28" s="47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20" t="s">
        <v>241</v>
      </c>
      <c r="B29" s="20"/>
      <c r="C29" s="20"/>
      <c r="D29" s="47" t="s">
        <v>193</v>
      </c>
      <c r="E29" s="47"/>
      <c r="F29" s="47"/>
      <c r="G29" s="4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 customHeight="1">
      <c r="A30" s="20" t="s">
        <v>242</v>
      </c>
      <c r="B30" s="20"/>
      <c r="C30" s="20"/>
      <c r="D30" s="47">
        <v>2345.58</v>
      </c>
      <c r="E30" s="47"/>
      <c r="F30" s="47">
        <v>2647.44</v>
      </c>
      <c r="G30" s="47">
        <f>F30-D30</f>
        <v>301.8600000000001</v>
      </c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20" t="s">
        <v>243</v>
      </c>
      <c r="B31" s="20"/>
      <c r="C31" s="20"/>
      <c r="D31" s="47" t="s">
        <v>193</v>
      </c>
      <c r="E31" s="47"/>
      <c r="F31" s="47"/>
      <c r="G31" s="47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24"/>
      <c r="B33" s="24"/>
      <c r="C33" s="24"/>
      <c r="D33" s="24"/>
      <c r="E33" s="24"/>
      <c r="F33" s="24"/>
      <c r="G33" s="24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20"/>
      <c r="B34" s="20" t="s">
        <v>190</v>
      </c>
      <c r="C34" s="20"/>
      <c r="D34" s="47">
        <f>SUM(D12:D32)</f>
        <v>8851.34</v>
      </c>
      <c r="E34" s="47"/>
      <c r="F34" s="47">
        <f>SUM(F12:F32)</f>
        <v>9722.6</v>
      </c>
      <c r="G34" s="47">
        <f>SUM(G12:G32)</f>
        <v>871.2600000000004</v>
      </c>
      <c r="H34" s="20" t="s">
        <v>195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20"/>
      <c r="B36" s="20"/>
      <c r="C36" s="20"/>
      <c r="D36" s="20"/>
      <c r="E36" s="20"/>
      <c r="F36" s="20" t="s">
        <v>10</v>
      </c>
      <c r="G36" s="47">
        <f>G34*12</f>
        <v>10455.120000000006</v>
      </c>
      <c r="H36" s="20" t="s">
        <v>196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1" width="8.6640625" style="1" customWidth="1"/>
    <col min="2" max="13" width="7.6640625" style="1" customWidth="1"/>
    <col min="14" max="16384" width="9.6640625" style="1" customWidth="1"/>
  </cols>
  <sheetData>
    <row r="1" spans="5:11" ht="18">
      <c r="E1" s="12" t="s">
        <v>170</v>
      </c>
      <c r="I1" s="13" t="s">
        <v>89</v>
      </c>
      <c r="J1" s="14"/>
      <c r="K1" s="4">
        <v>15</v>
      </c>
    </row>
    <row r="2" spans="9:11" ht="15">
      <c r="I2" s="1" t="s">
        <v>183</v>
      </c>
      <c r="K2" s="4">
        <v>6</v>
      </c>
    </row>
    <row r="4" spans="1:11" ht="13.5" customHeight="1">
      <c r="A4" s="9" t="s">
        <v>192</v>
      </c>
      <c r="B4" s="15" t="s">
        <v>55</v>
      </c>
      <c r="C4" s="4" t="s">
        <v>55</v>
      </c>
      <c r="D4" s="4" t="s">
        <v>55</v>
      </c>
      <c r="E4" s="4" t="s">
        <v>55</v>
      </c>
      <c r="F4" s="4" t="s">
        <v>55</v>
      </c>
      <c r="G4" s="4" t="s">
        <v>55</v>
      </c>
      <c r="I4" s="5" t="s">
        <v>200</v>
      </c>
      <c r="K4" s="11">
        <f>VLOOKUP(K1,TVÖD,(K2)+1)</f>
        <v>5384.13</v>
      </c>
    </row>
    <row r="5" spans="1:7" ht="13.5" customHeight="1">
      <c r="A5" s="9" t="s">
        <v>197</v>
      </c>
      <c r="B5" s="15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</row>
    <row r="6" spans="1:21" ht="13.5" customHeight="1">
      <c r="A6" s="21"/>
      <c r="B6" s="62"/>
      <c r="C6" s="24"/>
      <c r="D6" s="24"/>
      <c r="E6" s="24"/>
      <c r="F6" s="24"/>
      <c r="G6" s="24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1">
        <v>1</v>
      </c>
      <c r="B7" s="50"/>
      <c r="C7" s="51">
        <v>1415.99</v>
      </c>
      <c r="D7" s="51">
        <v>1441.42</v>
      </c>
      <c r="E7" s="51">
        <v>1473.22</v>
      </c>
      <c r="F7" s="51">
        <v>1502.89</v>
      </c>
      <c r="G7" s="51">
        <v>1579.2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1">
        <v>2</v>
      </c>
      <c r="B8" s="50">
        <v>1588.74</v>
      </c>
      <c r="C8" s="51">
        <v>1759.38</v>
      </c>
      <c r="D8" s="51">
        <v>1812.37</v>
      </c>
      <c r="E8" s="51">
        <v>1865.37</v>
      </c>
      <c r="F8" s="51">
        <v>1981.95</v>
      </c>
      <c r="G8" s="51">
        <v>2103.84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21">
        <v>3</v>
      </c>
      <c r="B9" s="50">
        <v>1722.29</v>
      </c>
      <c r="C9" s="51">
        <v>1907.76</v>
      </c>
      <c r="D9" s="51">
        <v>1960.76</v>
      </c>
      <c r="E9" s="51">
        <v>2045.55</v>
      </c>
      <c r="F9" s="51">
        <v>2109.14</v>
      </c>
      <c r="G9" s="51">
        <v>2167.44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21">
        <v>4</v>
      </c>
      <c r="B10" s="50">
        <v>1750.9</v>
      </c>
      <c r="C10" s="51">
        <v>1939.56</v>
      </c>
      <c r="D10" s="51">
        <v>2066.74</v>
      </c>
      <c r="E10" s="51">
        <v>2140.93</v>
      </c>
      <c r="F10" s="51">
        <v>2215.12</v>
      </c>
      <c r="G10" s="51">
        <v>2258.58</v>
      </c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21">
        <v>5</v>
      </c>
      <c r="B11" s="50">
        <v>1842.05</v>
      </c>
      <c r="C11" s="51">
        <v>2040.25</v>
      </c>
      <c r="D11" s="51">
        <v>2140.93</v>
      </c>
      <c r="E11" s="51">
        <v>2241.63</v>
      </c>
      <c r="F11" s="51">
        <v>2315.82</v>
      </c>
      <c r="G11" s="51">
        <v>2368.81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21">
        <v>6</v>
      </c>
      <c r="B12" s="50">
        <v>1922.6</v>
      </c>
      <c r="C12" s="51">
        <v>2130.33</v>
      </c>
      <c r="D12" s="51">
        <v>2236.32</v>
      </c>
      <c r="E12" s="51">
        <v>2337.01</v>
      </c>
      <c r="F12" s="51">
        <v>2405.9</v>
      </c>
      <c r="G12" s="51">
        <v>2474.8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1">
        <v>7</v>
      </c>
      <c r="B13" s="50">
        <v>1960.76</v>
      </c>
      <c r="C13" s="51">
        <v>2172.73</v>
      </c>
      <c r="D13" s="51">
        <v>2310.51</v>
      </c>
      <c r="E13" s="51">
        <v>2416.5</v>
      </c>
      <c r="F13" s="51">
        <v>2495.99</v>
      </c>
      <c r="G13" s="51">
        <v>2570.19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21">
        <v>8</v>
      </c>
      <c r="B14" s="50">
        <v>2094.3</v>
      </c>
      <c r="C14" s="51">
        <v>2321.11</v>
      </c>
      <c r="D14" s="51">
        <v>2427.1</v>
      </c>
      <c r="E14" s="51">
        <v>2522.49</v>
      </c>
      <c r="F14" s="51">
        <v>2628.47</v>
      </c>
      <c r="G14" s="51">
        <v>2695.24</v>
      </c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21">
        <v>9</v>
      </c>
      <c r="B15" s="50">
        <v>2237.38</v>
      </c>
      <c r="C15" s="51">
        <v>2480.09</v>
      </c>
      <c r="D15" s="51">
        <v>2607.28</v>
      </c>
      <c r="E15" s="51">
        <v>2946.43</v>
      </c>
      <c r="F15" s="51">
        <v>3211.4</v>
      </c>
      <c r="G15" s="51">
        <v>3423.37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21">
        <v>10</v>
      </c>
      <c r="B16" s="50">
        <v>2533.08</v>
      </c>
      <c r="C16" s="51">
        <v>2808.65</v>
      </c>
      <c r="D16" s="51">
        <v>3020.62</v>
      </c>
      <c r="E16" s="51">
        <v>3232.6</v>
      </c>
      <c r="F16" s="51">
        <v>3635.35</v>
      </c>
      <c r="G16" s="51">
        <v>3730.74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21">
        <v>11</v>
      </c>
      <c r="B17" s="50">
        <v>2628.47</v>
      </c>
      <c r="C17" s="51">
        <v>2914.64</v>
      </c>
      <c r="D17" s="51">
        <v>3126.61</v>
      </c>
      <c r="E17" s="51">
        <v>3444.57</v>
      </c>
      <c r="F17" s="51">
        <v>3905.62</v>
      </c>
      <c r="G17" s="51">
        <v>4117.59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1">
        <v>12</v>
      </c>
      <c r="B18" s="50">
        <v>2723.86</v>
      </c>
      <c r="C18" s="51">
        <v>3020.62</v>
      </c>
      <c r="D18" s="51">
        <v>3444.57</v>
      </c>
      <c r="E18" s="51">
        <v>3815.52</v>
      </c>
      <c r="F18" s="51">
        <v>4292.47</v>
      </c>
      <c r="G18" s="51">
        <v>4504.44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21">
        <v>13</v>
      </c>
      <c r="B19" s="50">
        <v>3038.64</v>
      </c>
      <c r="C19" s="51">
        <v>3370.38</v>
      </c>
      <c r="D19" s="51">
        <v>3550.56</v>
      </c>
      <c r="E19" s="51">
        <v>3900.31</v>
      </c>
      <c r="F19" s="51">
        <v>4387.85</v>
      </c>
      <c r="G19" s="51">
        <v>4589.23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1">
        <v>14</v>
      </c>
      <c r="B20" s="50">
        <v>3296.19</v>
      </c>
      <c r="C20" s="51">
        <v>3656.54</v>
      </c>
      <c r="D20" s="51">
        <v>3868.52</v>
      </c>
      <c r="E20" s="51">
        <v>4186.48</v>
      </c>
      <c r="F20" s="51">
        <v>4674.02</v>
      </c>
      <c r="G20" s="51">
        <v>4938.98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1">
        <v>15</v>
      </c>
      <c r="B21" s="50">
        <v>3639.58</v>
      </c>
      <c r="C21" s="51">
        <v>4038.1</v>
      </c>
      <c r="D21" s="51">
        <v>4186.48</v>
      </c>
      <c r="E21" s="51">
        <v>4716.41</v>
      </c>
      <c r="F21" s="51">
        <v>5119.16</v>
      </c>
      <c r="G21" s="51">
        <v>5384.13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0"/>
      <c r="B24" s="20"/>
      <c r="C24" s="20"/>
      <c r="D24" s="20"/>
      <c r="E24" s="63" t="s">
        <v>199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21" t="s">
        <v>192</v>
      </c>
      <c r="B26" s="58"/>
      <c r="C26" s="20"/>
      <c r="D26" s="20"/>
      <c r="E26" s="20"/>
      <c r="F26" s="20"/>
      <c r="G26" s="20"/>
      <c r="H26" s="20"/>
      <c r="I26" s="20" t="s">
        <v>89</v>
      </c>
      <c r="J26" s="64"/>
      <c r="K26" s="21">
        <v>6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21" t="s">
        <v>197</v>
      </c>
      <c r="B27" s="48" t="s">
        <v>55</v>
      </c>
      <c r="C27" s="21" t="s">
        <v>55</v>
      </c>
      <c r="D27" s="21" t="s">
        <v>55</v>
      </c>
      <c r="E27" s="21" t="s">
        <v>55</v>
      </c>
      <c r="F27" s="21" t="s">
        <v>55</v>
      </c>
      <c r="G27" s="21" t="s">
        <v>55</v>
      </c>
      <c r="H27" s="20"/>
      <c r="I27" s="20" t="s">
        <v>183</v>
      </c>
      <c r="J27" s="20"/>
      <c r="K27" s="21">
        <v>6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21" t="s">
        <v>198</v>
      </c>
      <c r="B28" s="48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40"/>
      <c r="B29" s="49"/>
      <c r="C29" s="40"/>
      <c r="D29" s="40"/>
      <c r="E29" s="40"/>
      <c r="F29" s="40"/>
      <c r="G29" s="40"/>
      <c r="H29" s="20"/>
      <c r="I29" s="20" t="s">
        <v>200</v>
      </c>
      <c r="J29" s="20"/>
      <c r="K29" s="47">
        <f>VLOOKUP(K26,TVÖD_SUE,(K27)+1)</f>
        <v>2864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 customHeight="1">
      <c r="A30" s="21">
        <v>2</v>
      </c>
      <c r="B30" s="50">
        <v>1675</v>
      </c>
      <c r="C30" s="51">
        <v>1770</v>
      </c>
      <c r="D30" s="51">
        <v>1840</v>
      </c>
      <c r="E30" s="51">
        <v>1920</v>
      </c>
      <c r="F30" s="51">
        <v>2000</v>
      </c>
      <c r="G30" s="51">
        <v>2080</v>
      </c>
      <c r="H30" s="20"/>
      <c r="I30" s="20"/>
      <c r="J30" s="20"/>
      <c r="K30" s="47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21">
        <v>3</v>
      </c>
      <c r="B31" s="50">
        <v>1750</v>
      </c>
      <c r="C31" s="51">
        <v>1960</v>
      </c>
      <c r="D31" s="51">
        <v>2100</v>
      </c>
      <c r="E31" s="51">
        <v>2240</v>
      </c>
      <c r="F31" s="51">
        <v>2280</v>
      </c>
      <c r="G31" s="51">
        <v>2320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21">
        <v>4</v>
      </c>
      <c r="B32" s="50">
        <v>1850</v>
      </c>
      <c r="C32" s="51">
        <v>2100</v>
      </c>
      <c r="D32" s="51">
        <v>2230</v>
      </c>
      <c r="E32" s="51">
        <v>2340</v>
      </c>
      <c r="F32" s="51">
        <v>2410</v>
      </c>
      <c r="G32" s="51">
        <v>2500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21">
        <v>5</v>
      </c>
      <c r="B33" s="50">
        <v>2040</v>
      </c>
      <c r="C33" s="51">
        <v>2240</v>
      </c>
      <c r="D33" s="51">
        <v>2390</v>
      </c>
      <c r="E33" s="51">
        <v>2470</v>
      </c>
      <c r="F33" s="51">
        <v>2580</v>
      </c>
      <c r="G33" s="51">
        <v>2770</v>
      </c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21">
        <v>6</v>
      </c>
      <c r="B34" s="50">
        <v>2040</v>
      </c>
      <c r="C34" s="51">
        <v>2240</v>
      </c>
      <c r="D34" s="51">
        <v>2400</v>
      </c>
      <c r="E34" s="51">
        <v>2560</v>
      </c>
      <c r="F34" s="51">
        <v>2705</v>
      </c>
      <c r="G34" s="51">
        <v>2864</v>
      </c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21">
        <v>7</v>
      </c>
      <c r="B35" s="50">
        <v>2075</v>
      </c>
      <c r="C35" s="51">
        <v>2275</v>
      </c>
      <c r="D35" s="51">
        <v>2435</v>
      </c>
      <c r="E35" s="51">
        <v>2595</v>
      </c>
      <c r="F35" s="51">
        <v>2715</v>
      </c>
      <c r="G35" s="51">
        <v>2890</v>
      </c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21">
        <v>8</v>
      </c>
      <c r="B36" s="50">
        <v>2140</v>
      </c>
      <c r="C36" s="51">
        <v>2300</v>
      </c>
      <c r="D36" s="51">
        <v>2500</v>
      </c>
      <c r="E36" s="51">
        <v>2785</v>
      </c>
      <c r="F36" s="51">
        <v>3045</v>
      </c>
      <c r="G36" s="51">
        <v>3250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21">
        <v>9</v>
      </c>
      <c r="B37" s="50">
        <v>2230</v>
      </c>
      <c r="C37" s="51">
        <v>2400</v>
      </c>
      <c r="D37" s="51">
        <v>2550</v>
      </c>
      <c r="E37" s="51">
        <v>2825</v>
      </c>
      <c r="F37" s="51">
        <v>3050</v>
      </c>
      <c r="G37" s="51">
        <v>3265</v>
      </c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21">
        <v>10</v>
      </c>
      <c r="B38" s="50">
        <v>2240</v>
      </c>
      <c r="C38" s="51">
        <v>2480</v>
      </c>
      <c r="D38" s="51">
        <v>2600</v>
      </c>
      <c r="E38" s="51">
        <v>2950</v>
      </c>
      <c r="F38" s="51">
        <v>3230</v>
      </c>
      <c r="G38" s="51">
        <v>3460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21">
        <v>11</v>
      </c>
      <c r="B39" s="50">
        <v>2300</v>
      </c>
      <c r="C39" s="51">
        <v>2600</v>
      </c>
      <c r="D39" s="51">
        <v>2730</v>
      </c>
      <c r="E39" s="51">
        <v>3050</v>
      </c>
      <c r="F39" s="51">
        <v>3300</v>
      </c>
      <c r="G39" s="51">
        <v>3450</v>
      </c>
      <c r="H39" s="20"/>
      <c r="I39" s="20" t="s">
        <v>244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21">
        <v>12</v>
      </c>
      <c r="B40" s="50">
        <v>2400</v>
      </c>
      <c r="C40" s="51">
        <v>2650</v>
      </c>
      <c r="D40" s="51">
        <v>2890</v>
      </c>
      <c r="E40" s="51">
        <v>3100</v>
      </c>
      <c r="F40" s="51">
        <v>3360</v>
      </c>
      <c r="G40" s="51">
        <v>3470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21">
        <v>13</v>
      </c>
      <c r="B41" s="50">
        <v>2500</v>
      </c>
      <c r="C41" s="51">
        <v>2700</v>
      </c>
      <c r="D41" s="51">
        <v>2950</v>
      </c>
      <c r="E41" s="51">
        <v>3150</v>
      </c>
      <c r="F41" s="51">
        <v>3400</v>
      </c>
      <c r="G41" s="51">
        <v>3525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1">
        <v>14</v>
      </c>
      <c r="B42" s="50">
        <v>2500</v>
      </c>
      <c r="C42" s="51">
        <v>2700</v>
      </c>
      <c r="D42" s="51">
        <v>2950</v>
      </c>
      <c r="E42" s="51">
        <v>3150</v>
      </c>
      <c r="F42" s="51">
        <v>3400</v>
      </c>
      <c r="G42" s="51">
        <v>3575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1">
        <v>15</v>
      </c>
      <c r="B43" s="50"/>
      <c r="C43" s="51"/>
      <c r="D43" s="51"/>
      <c r="E43" s="51"/>
      <c r="F43" s="51"/>
      <c r="G43" s="51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1">
        <v>16</v>
      </c>
      <c r="B44" s="50"/>
      <c r="C44" s="51"/>
      <c r="D44" s="51"/>
      <c r="E44" s="51"/>
      <c r="F44" s="51"/>
      <c r="G44" s="51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1">
        <v>17</v>
      </c>
      <c r="B45" s="50"/>
      <c r="C45" s="51"/>
      <c r="D45" s="51"/>
      <c r="E45" s="51"/>
      <c r="F45" s="51"/>
      <c r="G45" s="51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1">
        <v>18</v>
      </c>
      <c r="B46" s="5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1" width="8.6640625" style="1" customWidth="1"/>
    <col min="2" max="2" width="10.6640625" style="1" customWidth="1"/>
    <col min="3" max="3" width="8.6640625" style="1" customWidth="1"/>
    <col min="4" max="16384" width="9.6640625" style="1" customWidth="1"/>
  </cols>
  <sheetData>
    <row r="1" spans="1:8" ht="18">
      <c r="A1" s="2" t="s">
        <v>199</v>
      </c>
      <c r="B1" s="7"/>
      <c r="C1" s="7"/>
      <c r="D1" s="7"/>
      <c r="E1" s="7"/>
      <c r="F1" s="7"/>
      <c r="G1" s="7"/>
      <c r="H1" s="7"/>
    </row>
    <row r="3" spans="1:8" ht="15">
      <c r="A3" s="7" t="s">
        <v>201</v>
      </c>
      <c r="B3" s="7"/>
      <c r="C3" s="7"/>
      <c r="D3" s="7"/>
      <c r="E3" s="7"/>
      <c r="F3" s="7"/>
      <c r="G3" s="7"/>
      <c r="H3" s="7"/>
    </row>
    <row r="4" ht="13.5" customHeight="1"/>
    <row r="5" spans="2:3" ht="13.5" customHeight="1">
      <c r="B5" s="9" t="s">
        <v>192</v>
      </c>
      <c r="C5" s="16"/>
    </row>
    <row r="6" spans="1:21" ht="13.5" customHeight="1">
      <c r="A6" s="20"/>
      <c r="B6" s="21" t="s">
        <v>197</v>
      </c>
      <c r="C6" s="48" t="s">
        <v>55</v>
      </c>
      <c r="D6" s="21" t="s">
        <v>55</v>
      </c>
      <c r="E6" s="21" t="s">
        <v>55</v>
      </c>
      <c r="F6" s="21" t="s">
        <v>55</v>
      </c>
      <c r="G6" s="21" t="s">
        <v>55</v>
      </c>
      <c r="H6" s="21" t="s">
        <v>55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0"/>
      <c r="B7" s="21" t="s">
        <v>198</v>
      </c>
      <c r="C7" s="48">
        <v>1</v>
      </c>
      <c r="D7" s="21">
        <v>2</v>
      </c>
      <c r="E7" s="21">
        <v>3</v>
      </c>
      <c r="F7" s="21">
        <v>4</v>
      </c>
      <c r="G7" s="21">
        <v>5</v>
      </c>
      <c r="H7" s="21">
        <v>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0"/>
      <c r="B8" s="40"/>
      <c r="C8" s="49"/>
      <c r="D8" s="40"/>
      <c r="E8" s="40"/>
      <c r="F8" s="40"/>
      <c r="G8" s="40"/>
      <c r="H8" s="4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20"/>
      <c r="B9" s="21">
        <v>2</v>
      </c>
      <c r="C9" s="50">
        <v>1675</v>
      </c>
      <c r="D9" s="51">
        <v>1770</v>
      </c>
      <c r="E9" s="51">
        <v>1840</v>
      </c>
      <c r="F9" s="51">
        <v>1920</v>
      </c>
      <c r="G9" s="51">
        <v>2000</v>
      </c>
      <c r="H9" s="51">
        <v>2080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20"/>
      <c r="B10" s="21">
        <v>3</v>
      </c>
      <c r="C10" s="50">
        <v>1750</v>
      </c>
      <c r="D10" s="51">
        <v>1960</v>
      </c>
      <c r="E10" s="51">
        <v>2100</v>
      </c>
      <c r="F10" s="51">
        <v>2240</v>
      </c>
      <c r="G10" s="51">
        <v>2280</v>
      </c>
      <c r="H10" s="51">
        <v>2320</v>
      </c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20"/>
      <c r="B11" s="21">
        <v>4</v>
      </c>
      <c r="C11" s="50">
        <v>1850</v>
      </c>
      <c r="D11" s="51">
        <v>2100</v>
      </c>
      <c r="E11" s="51">
        <v>2230</v>
      </c>
      <c r="F11" s="51">
        <v>2340</v>
      </c>
      <c r="G11" s="51">
        <v>2410</v>
      </c>
      <c r="H11" s="51">
        <v>2500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20"/>
      <c r="B12" s="21">
        <v>5</v>
      </c>
      <c r="C12" s="50">
        <v>2040</v>
      </c>
      <c r="D12" s="51">
        <v>2240</v>
      </c>
      <c r="E12" s="51">
        <v>2390</v>
      </c>
      <c r="F12" s="51">
        <v>2470</v>
      </c>
      <c r="G12" s="51">
        <v>2580</v>
      </c>
      <c r="H12" s="51">
        <v>2770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0"/>
      <c r="B13" s="52">
        <v>6</v>
      </c>
      <c r="C13" s="53">
        <v>2040</v>
      </c>
      <c r="D13" s="54">
        <v>2240</v>
      </c>
      <c r="E13" s="54">
        <v>2400</v>
      </c>
      <c r="F13" s="54">
        <v>2560</v>
      </c>
      <c r="G13" s="54">
        <v>2705</v>
      </c>
      <c r="H13" s="54">
        <v>2864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20"/>
      <c r="B14" s="21">
        <v>7</v>
      </c>
      <c r="C14" s="50">
        <v>2075</v>
      </c>
      <c r="D14" s="51">
        <v>2275</v>
      </c>
      <c r="E14" s="51">
        <v>2435</v>
      </c>
      <c r="F14" s="51">
        <v>2595</v>
      </c>
      <c r="G14" s="51">
        <v>2715</v>
      </c>
      <c r="H14" s="51">
        <v>2890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20"/>
      <c r="B15" s="55">
        <v>8</v>
      </c>
      <c r="C15" s="56">
        <v>2140</v>
      </c>
      <c r="D15" s="57">
        <v>2300</v>
      </c>
      <c r="E15" s="57">
        <v>2500</v>
      </c>
      <c r="F15" s="57">
        <v>2785</v>
      </c>
      <c r="G15" s="57">
        <v>3045</v>
      </c>
      <c r="H15" s="57">
        <v>3250</v>
      </c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20"/>
      <c r="B16" s="21">
        <v>9</v>
      </c>
      <c r="C16" s="50">
        <v>2230</v>
      </c>
      <c r="D16" s="51">
        <v>2400</v>
      </c>
      <c r="E16" s="51">
        <v>2550</v>
      </c>
      <c r="F16" s="51">
        <v>2825</v>
      </c>
      <c r="G16" s="51">
        <v>3050</v>
      </c>
      <c r="H16" s="51">
        <v>3265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20"/>
      <c r="B17" s="21">
        <v>10</v>
      </c>
      <c r="C17" s="50">
        <v>2240</v>
      </c>
      <c r="D17" s="51">
        <v>2480</v>
      </c>
      <c r="E17" s="51">
        <v>2600</v>
      </c>
      <c r="F17" s="51">
        <v>2950</v>
      </c>
      <c r="G17" s="51">
        <v>3230</v>
      </c>
      <c r="H17" s="51">
        <v>3460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0"/>
      <c r="B18" s="21">
        <v>11</v>
      </c>
      <c r="C18" s="50">
        <v>2300</v>
      </c>
      <c r="D18" s="51">
        <v>2600</v>
      </c>
      <c r="E18" s="51">
        <v>2730</v>
      </c>
      <c r="F18" s="51">
        <v>3050</v>
      </c>
      <c r="G18" s="51">
        <v>3300</v>
      </c>
      <c r="H18" s="51">
        <v>3450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20"/>
      <c r="B19" s="21">
        <v>12</v>
      </c>
      <c r="C19" s="50">
        <v>2400</v>
      </c>
      <c r="D19" s="51">
        <v>2650</v>
      </c>
      <c r="E19" s="51">
        <v>2890</v>
      </c>
      <c r="F19" s="51">
        <v>3100</v>
      </c>
      <c r="G19" s="51">
        <v>3360</v>
      </c>
      <c r="H19" s="51">
        <v>3470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0"/>
      <c r="B20" s="21">
        <v>13</v>
      </c>
      <c r="C20" s="50">
        <v>2500</v>
      </c>
      <c r="D20" s="51">
        <v>2700</v>
      </c>
      <c r="E20" s="51">
        <v>2950</v>
      </c>
      <c r="F20" s="51">
        <v>3150</v>
      </c>
      <c r="G20" s="51">
        <v>3400</v>
      </c>
      <c r="H20" s="51">
        <v>3525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0"/>
      <c r="B21" s="21">
        <v>14</v>
      </c>
      <c r="C21" s="50">
        <v>2500</v>
      </c>
      <c r="D21" s="51">
        <v>2700</v>
      </c>
      <c r="E21" s="51">
        <v>2950</v>
      </c>
      <c r="F21" s="51">
        <v>3150</v>
      </c>
      <c r="G21" s="51">
        <v>3400</v>
      </c>
      <c r="H21" s="51">
        <v>3575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21">
        <v>15</v>
      </c>
      <c r="C22" s="50">
        <v>2530</v>
      </c>
      <c r="D22" s="51">
        <v>2800</v>
      </c>
      <c r="E22" s="51">
        <v>3000</v>
      </c>
      <c r="F22" s="51">
        <v>3230</v>
      </c>
      <c r="G22" s="51">
        <v>3600</v>
      </c>
      <c r="H22" s="51">
        <v>3760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20"/>
      <c r="B23" s="21">
        <v>16</v>
      </c>
      <c r="C23" s="50"/>
      <c r="D23" s="51"/>
      <c r="E23" s="51"/>
      <c r="F23" s="51"/>
      <c r="G23" s="51"/>
      <c r="H23" s="51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0"/>
      <c r="B24" s="21">
        <v>17</v>
      </c>
      <c r="C24" s="50"/>
      <c r="D24" s="51"/>
      <c r="E24" s="51"/>
      <c r="F24" s="51"/>
      <c r="G24" s="51"/>
      <c r="H24" s="51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20"/>
      <c r="B25" s="21">
        <v>18</v>
      </c>
      <c r="C25" s="5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20"/>
      <c r="B26" s="20"/>
      <c r="C26" s="58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20" t="s">
        <v>202</v>
      </c>
      <c r="B27" s="24" t="s">
        <v>207</v>
      </c>
      <c r="C27" s="59">
        <v>1</v>
      </c>
      <c r="D27" s="59">
        <v>2</v>
      </c>
      <c r="E27" s="59">
        <v>3</v>
      </c>
      <c r="F27" s="59">
        <v>4</v>
      </c>
      <c r="G27" s="59">
        <v>5</v>
      </c>
      <c r="H27" s="59"/>
      <c r="I27" s="58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20" t="s">
        <v>203</v>
      </c>
      <c r="B28" s="20"/>
      <c r="C28" s="48"/>
      <c r="D28" s="48"/>
      <c r="E28" s="48"/>
      <c r="F28" s="48"/>
      <c r="G28" s="48"/>
      <c r="H28" s="48"/>
      <c r="I28" s="5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20"/>
      <c r="B29" s="40" t="s">
        <v>208</v>
      </c>
      <c r="C29" s="59"/>
      <c r="D29" s="59">
        <f>C27</f>
        <v>1</v>
      </c>
      <c r="E29" s="59">
        <f>D29+D27</f>
        <v>3</v>
      </c>
      <c r="F29" s="59">
        <f>E29+E27</f>
        <v>6</v>
      </c>
      <c r="G29" s="59">
        <f>F29+F27</f>
        <v>10</v>
      </c>
      <c r="H29" s="59">
        <f>G29+G27</f>
        <v>15</v>
      </c>
      <c r="I29" s="58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 customHeight="1">
      <c r="A30" s="20"/>
      <c r="B30" s="20" t="s">
        <v>209</v>
      </c>
      <c r="C30" s="48"/>
      <c r="D30" s="48"/>
      <c r="E30" s="48"/>
      <c r="F30" s="48"/>
      <c r="G30" s="48"/>
      <c r="H30" s="48"/>
      <c r="I30" s="58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20"/>
      <c r="B31" s="24"/>
      <c r="C31" s="24"/>
      <c r="D31" s="24"/>
      <c r="E31" s="24"/>
      <c r="F31" s="24"/>
      <c r="G31" s="24"/>
      <c r="H31" s="2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20" t="s">
        <v>204</v>
      </c>
      <c r="B33" s="20" t="s">
        <v>207</v>
      </c>
      <c r="C33" s="48">
        <v>1</v>
      </c>
      <c r="D33" s="48">
        <v>3</v>
      </c>
      <c r="E33" s="48">
        <v>4</v>
      </c>
      <c r="F33" s="48">
        <v>4</v>
      </c>
      <c r="G33" s="48">
        <v>5</v>
      </c>
      <c r="H33" s="48"/>
      <c r="I33" s="58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60" t="s">
        <v>205</v>
      </c>
      <c r="B34" s="20"/>
      <c r="C34" s="48"/>
      <c r="D34" s="48"/>
      <c r="E34" s="48"/>
      <c r="F34" s="48"/>
      <c r="G34" s="48"/>
      <c r="H34" s="48"/>
      <c r="I34" s="58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20"/>
      <c r="B35" s="40" t="s">
        <v>208</v>
      </c>
      <c r="C35" s="59"/>
      <c r="D35" s="59">
        <f>C33</f>
        <v>1</v>
      </c>
      <c r="E35" s="59">
        <f>D35+D33</f>
        <v>4</v>
      </c>
      <c r="F35" s="59">
        <f>E35+E33</f>
        <v>8</v>
      </c>
      <c r="G35" s="59">
        <f>F35+F33</f>
        <v>12</v>
      </c>
      <c r="H35" s="59">
        <f>G35+G33</f>
        <v>17</v>
      </c>
      <c r="I35" s="58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20"/>
      <c r="B36" s="20" t="s">
        <v>209</v>
      </c>
      <c r="C36" s="48"/>
      <c r="D36" s="48"/>
      <c r="E36" s="48"/>
      <c r="F36" s="48"/>
      <c r="G36" s="48"/>
      <c r="H36" s="48"/>
      <c r="I36" s="58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20"/>
      <c r="B37" s="24"/>
      <c r="C37" s="24"/>
      <c r="D37" s="24"/>
      <c r="E37" s="24"/>
      <c r="F37" s="24"/>
      <c r="G37" s="24"/>
      <c r="H37" s="24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20" t="s">
        <v>204</v>
      </c>
      <c r="B39" s="20" t="s">
        <v>207</v>
      </c>
      <c r="C39" s="48">
        <v>1</v>
      </c>
      <c r="D39" s="48">
        <v>3</v>
      </c>
      <c r="E39" s="48">
        <v>4</v>
      </c>
      <c r="F39" s="48">
        <v>8</v>
      </c>
      <c r="G39" s="48">
        <v>10</v>
      </c>
      <c r="H39" s="48"/>
      <c r="I39" s="58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61" t="s">
        <v>206</v>
      </c>
      <c r="B40" s="20"/>
      <c r="C40" s="48"/>
      <c r="D40" s="48"/>
      <c r="E40" s="48"/>
      <c r="F40" s="48"/>
      <c r="G40" s="48"/>
      <c r="H40" s="48"/>
      <c r="I40" s="5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20"/>
      <c r="B41" s="40" t="s">
        <v>208</v>
      </c>
      <c r="C41" s="59"/>
      <c r="D41" s="59">
        <f>C39</f>
        <v>1</v>
      </c>
      <c r="E41" s="59">
        <f>D41+D39</f>
        <v>4</v>
      </c>
      <c r="F41" s="59">
        <f>E41+E39</f>
        <v>8</v>
      </c>
      <c r="G41" s="59">
        <f>F41+F39</f>
        <v>16</v>
      </c>
      <c r="H41" s="59">
        <f>G41+G39</f>
        <v>26</v>
      </c>
      <c r="I41" s="58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0"/>
      <c r="B42" s="20" t="s">
        <v>209</v>
      </c>
      <c r="C42" s="48"/>
      <c r="D42" s="48"/>
      <c r="E42" s="48"/>
      <c r="F42" s="48"/>
      <c r="G42" s="48"/>
      <c r="H42" s="48"/>
      <c r="I42" s="5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0"/>
      <c r="B43" s="24"/>
      <c r="C43" s="24"/>
      <c r="D43" s="24"/>
      <c r="E43" s="24"/>
      <c r="F43" s="24"/>
      <c r="G43" s="24"/>
      <c r="H43" s="24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showGridLines="0" zoomScalePageLayoutView="0" workbookViewId="0" topLeftCell="A1">
      <selection activeCell="E6" sqref="E6"/>
    </sheetView>
  </sheetViews>
  <sheetFormatPr defaultColWidth="9.6640625" defaultRowHeight="15"/>
  <cols>
    <col min="1" max="2" width="9.6640625" style="1" customWidth="1"/>
    <col min="3" max="3" width="11.6640625" style="1" customWidth="1"/>
    <col min="4" max="16384" width="9.6640625" style="1" customWidth="1"/>
  </cols>
  <sheetData>
    <row r="1" spans="1:3" ht="15">
      <c r="A1" s="5" t="s">
        <v>210</v>
      </c>
      <c r="C1" s="1" t="str">
        <f ca="1">"Freiamt, den "&amp;FIXED(DAY(NOW()),0,TRUE)&amp;"."&amp;FIXED(MONTH(NOW()),0,TRUE)&amp;"."&amp;FIXED(YEAR(NOW()),0,TRUE)</f>
        <v>Freiamt, den 19.11.2009</v>
      </c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6"/>
      <c r="B3" s="6"/>
      <c r="C3" s="6"/>
      <c r="D3" s="6"/>
      <c r="E3" s="6"/>
      <c r="F3" s="6"/>
      <c r="G3" s="6"/>
      <c r="H3" s="6"/>
    </row>
    <row r="4" spans="1:7" ht="13.5" customHeight="1">
      <c r="A4" s="5" t="s">
        <v>211</v>
      </c>
      <c r="C4" s="5" t="s">
        <v>213</v>
      </c>
      <c r="G4" s="5" t="s">
        <v>213</v>
      </c>
    </row>
    <row r="5" spans="3:7" ht="13.5" customHeight="1">
      <c r="C5" s="5" t="s">
        <v>214</v>
      </c>
      <c r="G5" s="5" t="s">
        <v>218</v>
      </c>
    </row>
    <row r="6" spans="1:21" ht="13.5" customHeight="1">
      <c r="A6" s="20"/>
      <c r="B6" s="20"/>
      <c r="C6" s="20" t="s">
        <v>215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3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13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3.5" customHeight="1">
      <c r="A9" s="24"/>
      <c r="B9" s="24"/>
      <c r="C9" s="24"/>
      <c r="D9" s="24"/>
      <c r="E9" s="24"/>
      <c r="F9" s="24"/>
      <c r="G9" s="24"/>
      <c r="H9" s="24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3.5" customHeight="1">
      <c r="A10" s="20" t="s">
        <v>212</v>
      </c>
      <c r="B10" s="20"/>
      <c r="C10" s="20"/>
      <c r="D10" s="20" t="s">
        <v>216</v>
      </c>
      <c r="E10" s="20">
        <v>21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3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3.5" customHeight="1">
      <c r="A12" s="20"/>
      <c r="B12" s="20"/>
      <c r="C12" s="20"/>
      <c r="D12" s="20" t="s">
        <v>217</v>
      </c>
      <c r="E12" s="20">
        <f>ROUND(E10+4,-1)</f>
        <v>30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3.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3.5" customHeight="1">
      <c r="A14" s="24"/>
      <c r="B14" s="24"/>
      <c r="C14" s="24"/>
      <c r="D14" s="24"/>
      <c r="E14" s="24"/>
      <c r="F14" s="24"/>
      <c r="G14" s="24"/>
      <c r="H14" s="24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3.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3.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3.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3.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3.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3.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3.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3.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3.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3.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3.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3.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3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ht="13.5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13.5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3.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ht="13.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ht="13.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3.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3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13.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3.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ht="13.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ht="13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ht="13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3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ht="13.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ht="13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ht="13.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ht="13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ht="13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ht="13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ht="13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ht="13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ht="13.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ht="13.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ht="13.5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3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ht="13.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ht="13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ht="13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ht="13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ht="13.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ht="13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ht="13.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ht="13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ht="13.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3.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ht="13.5" customHeight="1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ht="13.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ht="13.5" customHeight="1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ht="13.5" customHeight="1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ht="13.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ht="13.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ht="13.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ht="13.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ht="13.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ht="13.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ht="13.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3.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3.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ht="13.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3.5" customHeigh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3.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3.5" customHeight="1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  <row r="85" spans="1:21" ht="13.5" customHeight="1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21" ht="13.5" customHeight="1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21" ht="13.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21" ht="13.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21" ht="13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ht="13.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21" ht="13.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21" ht="13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21" ht="13.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21" ht="13.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21" ht="13.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3.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21" ht="13.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21" ht="13.5" customHeight="1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21" ht="13.5" customHeight="1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21" ht="13.5" customHeight="1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21" ht="13.5" customHeight="1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3.5" customHeight="1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21" ht="13.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21" ht="13.5" customHeight="1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21" ht="13.5" customHeight="1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1:21" ht="13.5" customHeight="1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1:21" ht="13.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21" ht="13.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</row>
    <row r="109" spans="1:21" ht="13.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</row>
    <row r="110" spans="1:21" ht="13.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21" ht="13.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21" ht="13.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</row>
    <row r="113" spans="1:21" ht="13.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3.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3.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21" ht="13.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3.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3.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3.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3.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</row>
    <row r="121" spans="1:21" ht="13.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3.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3.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3.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3.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3.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3.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3.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3.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3.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</row>
    <row r="131" spans="1:21" ht="13.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</row>
    <row r="132" spans="1:21" ht="13.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</row>
    <row r="133" spans="1:21" ht="1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</row>
    <row r="134" spans="1:21" ht="1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</row>
    <row r="135" spans="1:21" ht="1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</row>
    <row r="136" spans="1:21" ht="1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</row>
    <row r="137" spans="1:21" ht="1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</row>
    <row r="139" spans="1:21" ht="1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</row>
  </sheetData>
  <sheetProtection/>
  <printOptions/>
  <pageMargins left="0.7874015748031497" right="0.3937007874015748" top="0.3937007874015748" bottom="0.4724409448818898" header="0" footer="0"/>
  <pageSetup horizontalDpi="600" verticalDpi="600" orientation="portrait" paperSize="9" r:id="rId1"/>
  <headerFooter alignWithMargins="0">
    <oddFooter>&amp;L&amp;"Arial"&amp;8&amp;N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Klemm</cp:lastModifiedBy>
  <cp:lastPrinted>2009-11-19T08:52:20Z</cp:lastPrinted>
  <dcterms:modified xsi:type="dcterms:W3CDTF">2009-11-19T09:05:41Z</dcterms:modified>
  <cp:category/>
  <cp:version/>
  <cp:contentType/>
  <cp:contentStatus/>
</cp:coreProperties>
</file>